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ichValueRel.xml" ContentType="application/vnd.ms-excel.richvaluerel+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drawings/drawing1.xml" ContentType="application/vnd.openxmlformats-officedocument.drawing+xml"/>
  <Override PartName="/xl/drawings/drawing2.xml" ContentType="application/vnd.openxmlformats-officedocument.drawing+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drawings/drawing3.xml" ContentType="application/vnd.openxmlformats-officedocument.drawing+xml"/>
  <Override PartName="/xl/drawings/drawing4.xml" ContentType="application/vnd.openxmlformats-officedocument.drawing+xml"/>
  <Override PartName="/xl/tables/table8.xml" ContentType="application/vnd.openxmlformats-officedocument.spreadsheetml.table+xml"/>
  <Override PartName="/xl/comments1.xml" ContentType="application/vnd.openxmlformats-officedocument.spreadsheetml.comments+xml"/>
  <Override PartName="/xl/drawings/drawing5.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codeName="ThisWorkbook" defaultThemeVersion="166925"/>
  <mc:AlternateContent xmlns:mc="http://schemas.openxmlformats.org/markup-compatibility/2006">
    <mc:Choice Requires="x15">
      <x15ac:absPath xmlns:x15ac="http://schemas.microsoft.com/office/spreadsheetml/2010/11/ac" url="https://evolticompany.sharepoint.com/sites/PRUEBA2-Factibilidad/Documentos compartidos/3 Factibilidad/"/>
    </mc:Choice>
  </mc:AlternateContent>
  <xr:revisionPtr revIDLastSave="349" documentId="13_ncr:1_{696F3EF6-3A9F-4B6F-A7BC-A5EA59D56010}" xr6:coauthVersionLast="47" xr6:coauthVersionMax="47" xr10:uidLastSave="{95C9A5E0-478E-4D8F-BC8F-EBD097A73589}"/>
  <bookViews>
    <workbookView xWindow="-120" yWindow="-120" windowWidth="20730" windowHeight="11040" firstSheet="8" activeTab="8" xr2:uid="{1FF2EFB1-2C4F-4C57-96EE-5A7C7BACFD19}"/>
  </bookViews>
  <sheets>
    <sheet name="EPM" sheetId="3" state="hidden" r:id="rId1"/>
    <sheet name="Hoja1" sheetId="4" state="hidden" r:id="rId2"/>
    <sheet name="UPME" sheetId="2" state="hidden" r:id="rId3"/>
    <sheet name="Hoja2" sheetId="6" state="hidden" r:id="rId4"/>
    <sheet name="RETIE" sheetId="5" state="hidden" r:id="rId5"/>
    <sheet name="0 RESUMEN" sheetId="8" r:id="rId6"/>
    <sheet name="Informe Mensual" sheetId="26" r:id="rId7"/>
    <sheet name="Informe Semanal" sheetId="18" r:id="rId8"/>
    <sheet name="ESTADO SOLICITUDES" sheetId="7" r:id="rId9"/>
    <sheet name="Info Evolti" sheetId="25" state="hidden" r:id="rId10"/>
    <sheet name="Solicitud de Insumos " sheetId="21" r:id="rId11"/>
    <sheet name="Envio diseño OR" sheetId="24" r:id="rId12"/>
    <sheet name="Estudio de conexión " sheetId="23" r:id="rId13"/>
    <sheet name="INFO OPERADORES RED" sheetId="9" r:id="rId14"/>
    <sheet name="TIEMPOS" sheetId="12" r:id="rId15"/>
    <sheet name="TIEMPOS (Gantt)" sheetId="15" r:id="rId16"/>
    <sheet name="Estudios de Conexion" sheetId="11" r:id="rId17"/>
    <sheet name="Hoja3" sheetId="27" r:id="rId18"/>
    <sheet name="REDES MT" sheetId="20" r:id="rId19"/>
  </sheets>
  <definedNames>
    <definedName name="_xlnm.Print_Area" localSheetId="11">'Envio diseño OR'!$A$1:$N$71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539" i="7" l="1"/>
  <c r="C540" i="7"/>
  <c r="C541" i="7"/>
  <c r="C542" i="7"/>
  <c r="C538" i="7"/>
  <c r="C537" i="7"/>
  <c r="C535" i="7"/>
  <c r="C536" i="7"/>
  <c r="C523" i="7"/>
  <c r="C524" i="7"/>
  <c r="C525" i="7"/>
  <c r="C526" i="7"/>
  <c r="C527" i="7"/>
  <c r="C528" i="7"/>
  <c r="C529" i="7"/>
  <c r="C530" i="7"/>
  <c r="C531" i="7"/>
  <c r="C532" i="7"/>
  <c r="C533" i="7"/>
  <c r="C534" i="7"/>
  <c r="G7" i="24"/>
  <c r="G8" i="24"/>
  <c r="G9" i="24"/>
  <c r="G10" i="24"/>
  <c r="G11" i="24"/>
  <c r="G12" i="24"/>
  <c r="G13" i="24"/>
  <c r="G14" i="24"/>
  <c r="G15" i="24"/>
  <c r="G16" i="24"/>
  <c r="G17" i="24"/>
  <c r="G18" i="24"/>
  <c r="G19" i="24"/>
  <c r="G20" i="24"/>
  <c r="G21" i="24"/>
  <c r="G22" i="24"/>
  <c r="G23" i="24"/>
  <c r="G24" i="24"/>
  <c r="G25" i="24"/>
  <c r="G26" i="24"/>
  <c r="G27" i="24"/>
  <c r="G28" i="24"/>
  <c r="G29" i="24"/>
  <c r="G30" i="24"/>
  <c r="G31" i="24"/>
  <c r="G32" i="24"/>
  <c r="G33" i="24"/>
  <c r="G34" i="24"/>
  <c r="G35" i="24"/>
  <c r="G36" i="24"/>
  <c r="G37" i="24"/>
  <c r="G38" i="24"/>
  <c r="G39" i="24"/>
  <c r="G40" i="24"/>
  <c r="G41" i="24"/>
  <c r="G42" i="24"/>
  <c r="G43" i="24"/>
  <c r="G44" i="24"/>
  <c r="G45" i="24"/>
  <c r="G46" i="24"/>
  <c r="G47" i="24"/>
  <c r="G48" i="24"/>
  <c r="G49" i="24"/>
  <c r="G50" i="24"/>
  <c r="G51" i="24"/>
  <c r="G52" i="24"/>
  <c r="G53" i="24"/>
  <c r="G54" i="24"/>
  <c r="G55" i="24"/>
  <c r="G56" i="24"/>
  <c r="G57" i="24"/>
  <c r="G58" i="24"/>
  <c r="G59" i="24"/>
  <c r="G60" i="24"/>
  <c r="G61" i="24"/>
  <c r="G62" i="24"/>
  <c r="G63" i="24"/>
  <c r="G64" i="24"/>
  <c r="G65" i="24"/>
  <c r="G66" i="24"/>
  <c r="G67" i="24"/>
  <c r="G68" i="24"/>
  <c r="G69" i="24"/>
  <c r="G70" i="24"/>
  <c r="G71" i="24"/>
  <c r="G6" i="24"/>
  <c r="C521" i="7" l="1"/>
  <c r="C522" i="7"/>
  <c r="C520" i="7"/>
  <c r="C519" i="7"/>
  <c r="C518" i="7"/>
  <c r="C517" i="7"/>
  <c r="C516" i="7"/>
  <c r="C515" i="7"/>
  <c r="C514" i="7"/>
  <c r="C513" i="7"/>
  <c r="C512" i="7"/>
  <c r="C509" i="7"/>
  <c r="C508" i="7"/>
  <c r="C507" i="7"/>
  <c r="C506" i="7"/>
  <c r="C505" i="7"/>
  <c r="C504" i="7" l="1"/>
  <c r="C503" i="7"/>
  <c r="C502" i="7"/>
  <c r="C501" i="7"/>
  <c r="C500" i="7"/>
  <c r="C499" i="7"/>
  <c r="C498" i="7"/>
  <c r="C485" i="7"/>
  <c r="A63" i="7"/>
  <c r="A64" i="7" s="1"/>
  <c r="A65" i="7" s="1"/>
  <c r="A66" i="7" s="1"/>
  <c r="A67" i="7" s="1"/>
  <c r="A68" i="7" s="1"/>
  <c r="A69" i="7" s="1"/>
  <c r="A70" i="7" s="1"/>
  <c r="A71" i="7" s="1"/>
  <c r="A72" i="7" s="1"/>
  <c r="A73" i="7" s="1"/>
  <c r="A74" i="7" s="1"/>
  <c r="A75" i="7" s="1"/>
  <c r="A76" i="7" s="1"/>
  <c r="A77" i="7" s="1"/>
  <c r="A78" i="7" s="1"/>
  <c r="A79" i="7" s="1"/>
  <c r="A80" i="7" s="1"/>
  <c r="A81" i="7" s="1"/>
  <c r="A82" i="7" s="1"/>
  <c r="A83" i="7" s="1"/>
  <c r="A84" i="7" s="1"/>
  <c r="A85" i="7" s="1"/>
  <c r="A86" i="7" s="1"/>
  <c r="A87" i="7" s="1"/>
  <c r="A88" i="7" s="1"/>
  <c r="A89" i="7" s="1"/>
  <c r="A90" i="7" s="1"/>
  <c r="A91" i="7" s="1"/>
  <c r="A92" i="7" s="1"/>
  <c r="A93" i="7" s="1"/>
  <c r="A94" i="7" s="1"/>
  <c r="A95" i="7" s="1"/>
  <c r="A96" i="7" s="1"/>
  <c r="A97" i="7" s="1"/>
  <c r="A98" i="7" s="1"/>
  <c r="A99" i="7" s="1"/>
  <c r="A100" i="7" s="1"/>
  <c r="A101" i="7" s="1"/>
  <c r="A102" i="7" s="1"/>
  <c r="A103" i="7" s="1"/>
  <c r="A104" i="7" s="1"/>
  <c r="A105" i="7" s="1"/>
  <c r="A106" i="7" s="1"/>
  <c r="A107" i="7" s="1"/>
  <c r="A108" i="7" s="1"/>
  <c r="A109" i="7" s="1"/>
  <c r="A110" i="7" s="1"/>
  <c r="A111" i="7" s="1"/>
  <c r="A112" i="7" s="1"/>
  <c r="A113" i="7" s="1"/>
  <c r="A114" i="7" s="1"/>
  <c r="A115" i="7" s="1"/>
  <c r="A116" i="7" s="1"/>
  <c r="A117" i="7" s="1"/>
  <c r="A118" i="7" s="1"/>
  <c r="A119" i="7" s="1"/>
  <c r="A120" i="7" s="1"/>
  <c r="A121" i="7" s="1"/>
  <c r="A122" i="7" s="1"/>
  <c r="A123" i="7" s="1"/>
  <c r="A124" i="7" s="1"/>
  <c r="A125" i="7" s="1"/>
  <c r="A126" i="7" s="1"/>
  <c r="A127" i="7" s="1"/>
  <c r="A128" i="7" s="1"/>
  <c r="A129" i="7" s="1"/>
  <c r="A130" i="7" s="1"/>
  <c r="A131" i="7" s="1"/>
  <c r="A132" i="7" s="1"/>
  <c r="A133" i="7" s="1"/>
  <c r="A134" i="7" s="1"/>
  <c r="A135" i="7" s="1"/>
  <c r="A136" i="7" s="1"/>
  <c r="A137" i="7" s="1"/>
  <c r="A138" i="7" s="1"/>
  <c r="A139" i="7" s="1"/>
  <c r="A140" i="7" s="1"/>
  <c r="A141" i="7" s="1"/>
  <c r="A142" i="7" s="1"/>
  <c r="A143" i="7" s="1"/>
  <c r="A144" i="7" s="1"/>
  <c r="A145" i="7" s="1"/>
  <c r="A146" i="7" s="1"/>
  <c r="A147" i="7" s="1"/>
  <c r="A148" i="7" s="1"/>
  <c r="A149" i="7" s="1"/>
  <c r="A150" i="7" s="1"/>
  <c r="A151" i="7" s="1"/>
  <c r="A152" i="7" s="1"/>
  <c r="A153" i="7" s="1"/>
  <c r="A154" i="7" s="1"/>
  <c r="A155" i="7" s="1"/>
  <c r="A156" i="7" s="1"/>
  <c r="A157" i="7" s="1"/>
  <c r="A158" i="7" s="1"/>
  <c r="A159" i="7" s="1"/>
  <c r="A160" i="7" s="1"/>
  <c r="A161" i="7" s="1"/>
  <c r="A162" i="7" s="1"/>
  <c r="A163" i="7" s="1"/>
  <c r="A164" i="7" s="1"/>
  <c r="A165" i="7" s="1"/>
  <c r="A166" i="7" s="1"/>
  <c r="A167" i="7" s="1"/>
  <c r="A168" i="7" s="1"/>
  <c r="A169" i="7" s="1"/>
  <c r="A170" i="7" s="1"/>
  <c r="A171" i="7" s="1"/>
  <c r="A172" i="7" s="1"/>
  <c r="A173" i="7" s="1"/>
  <c r="A174" i="7" s="1"/>
  <c r="A175" i="7" s="1"/>
  <c r="A176" i="7" s="1"/>
  <c r="A177" i="7" s="1"/>
  <c r="A178" i="7" s="1"/>
  <c r="A179" i="7" s="1"/>
  <c r="A180" i="7" s="1"/>
  <c r="A181" i="7" s="1"/>
  <c r="A182" i="7" s="1"/>
  <c r="A183" i="7" s="1"/>
  <c r="A184" i="7" s="1"/>
  <c r="A185" i="7" s="1"/>
  <c r="A186" i="7" s="1"/>
  <c r="A187" i="7" s="1"/>
  <c r="A188" i="7" s="1"/>
  <c r="A189" i="7" s="1"/>
  <c r="A190" i="7" s="1"/>
  <c r="A191" i="7" s="1"/>
  <c r="A192" i="7" s="1"/>
  <c r="A193" i="7" s="1"/>
  <c r="A194" i="7" s="1"/>
  <c r="A195" i="7" s="1"/>
  <c r="A196" i="7" s="1"/>
  <c r="A197" i="7" s="1"/>
  <c r="A198" i="7" s="1"/>
  <c r="A199" i="7" s="1"/>
  <c r="A200" i="7" s="1"/>
  <c r="A201" i="7" s="1"/>
  <c r="A202" i="7" s="1"/>
  <c r="A203" i="7" s="1"/>
  <c r="A204" i="7" s="1"/>
  <c r="A205" i="7" s="1"/>
  <c r="A206" i="7" s="1"/>
  <c r="A207" i="7" s="1"/>
  <c r="A208" i="7" s="1"/>
  <c r="A209" i="7" s="1"/>
  <c r="A210" i="7" s="1"/>
  <c r="A211" i="7" s="1"/>
  <c r="A212" i="7" s="1"/>
  <c r="A213" i="7" s="1"/>
  <c r="A214" i="7" s="1"/>
  <c r="A215" i="7" s="1"/>
  <c r="A216" i="7" s="1"/>
  <c r="A217" i="7" s="1"/>
  <c r="A218" i="7" s="1"/>
  <c r="A219" i="7" s="1"/>
  <c r="A220" i="7" s="1"/>
  <c r="A221" i="7" s="1"/>
  <c r="A222" i="7" s="1"/>
  <c r="A223" i="7" s="1"/>
  <c r="A224" i="7" s="1"/>
  <c r="A225" i="7" s="1"/>
  <c r="A226" i="7" s="1"/>
  <c r="A227" i="7" s="1"/>
  <c r="A228" i="7" s="1"/>
  <c r="A229" i="7" s="1"/>
  <c r="A230" i="7" s="1"/>
  <c r="A231" i="7" s="1"/>
  <c r="A232" i="7" s="1"/>
  <c r="A233" i="7" s="1"/>
  <c r="A234" i="7" s="1"/>
  <c r="A235" i="7" s="1"/>
  <c r="A236" i="7" s="1"/>
  <c r="A237" i="7" s="1"/>
  <c r="A238" i="7" s="1"/>
  <c r="A239" i="7" s="1"/>
  <c r="A240" i="7" s="1"/>
  <c r="A241" i="7" s="1"/>
  <c r="A242" i="7" s="1"/>
  <c r="A243" i="7" s="1"/>
  <c r="A244" i="7" s="1"/>
  <c r="A245" i="7" s="1"/>
  <c r="A246" i="7" s="1"/>
  <c r="A247" i="7" s="1"/>
  <c r="A248" i="7" s="1"/>
  <c r="A249" i="7" s="1"/>
  <c r="A250" i="7" s="1"/>
  <c r="A251" i="7" s="1"/>
  <c r="A252" i="7" s="1"/>
  <c r="A253" i="7" s="1"/>
  <c r="A254" i="7" s="1"/>
  <c r="A255" i="7" s="1"/>
  <c r="A256" i="7" s="1"/>
  <c r="A257" i="7" s="1"/>
  <c r="A258" i="7" s="1"/>
  <c r="A259" i="7" s="1"/>
  <c r="A260" i="7" s="1"/>
  <c r="A261" i="7" s="1"/>
  <c r="A262" i="7" s="1"/>
  <c r="A263" i="7" s="1"/>
  <c r="A264" i="7" s="1"/>
  <c r="A265" i="7" s="1"/>
  <c r="A266" i="7" s="1"/>
  <c r="A267" i="7" s="1"/>
  <c r="A268" i="7" s="1"/>
  <c r="A269" i="7" s="1"/>
  <c r="A270" i="7" s="1"/>
  <c r="A271" i="7" s="1"/>
  <c r="A272" i="7" s="1"/>
  <c r="A273" i="7" s="1"/>
  <c r="A274" i="7" s="1"/>
  <c r="A275" i="7" s="1"/>
  <c r="A276" i="7" s="1"/>
  <c r="A277" i="7" s="1"/>
  <c r="A278" i="7" s="1"/>
  <c r="A279" i="7" s="1"/>
  <c r="A280" i="7" s="1"/>
  <c r="A281" i="7" s="1"/>
  <c r="A282" i="7" s="1"/>
  <c r="A283" i="7" s="1"/>
  <c r="A284" i="7" s="1"/>
  <c r="A285" i="7" s="1"/>
  <c r="A286" i="7" s="1"/>
  <c r="A287" i="7" s="1"/>
  <c r="A288" i="7" s="1"/>
  <c r="A289" i="7" s="1"/>
  <c r="A290" i="7" s="1"/>
  <c r="A291" i="7" s="1"/>
  <c r="A292" i="7" s="1"/>
  <c r="A293" i="7" s="1"/>
  <c r="A294" i="7" s="1"/>
  <c r="A295" i="7" s="1"/>
  <c r="A296" i="7" s="1"/>
  <c r="A297" i="7" s="1"/>
  <c r="A298" i="7" s="1"/>
  <c r="A299" i="7" s="1"/>
  <c r="A300" i="7" s="1"/>
  <c r="A301" i="7" s="1"/>
  <c r="A302" i="7" s="1"/>
  <c r="A303" i="7" s="1"/>
  <c r="A304" i="7" s="1"/>
  <c r="A305" i="7" s="1"/>
  <c r="A306" i="7" s="1"/>
  <c r="A307" i="7" s="1"/>
  <c r="A308" i="7" s="1"/>
  <c r="A309" i="7" s="1"/>
  <c r="A310" i="7" s="1"/>
  <c r="A311" i="7" s="1"/>
  <c r="A312" i="7" s="1"/>
  <c r="A313" i="7" s="1"/>
  <c r="A314" i="7" s="1"/>
  <c r="A315" i="7" s="1"/>
  <c r="A316" i="7" s="1"/>
  <c r="A317" i="7" s="1"/>
  <c r="A318" i="7" s="1"/>
  <c r="A319" i="7" s="1"/>
  <c r="A320" i="7" s="1"/>
  <c r="A321" i="7" s="1"/>
  <c r="A322" i="7" s="1"/>
  <c r="A323" i="7" s="1"/>
  <c r="A324" i="7" s="1"/>
  <c r="A325" i="7" s="1"/>
  <c r="A326" i="7" s="1"/>
  <c r="A327" i="7" s="1"/>
  <c r="A328" i="7" s="1"/>
  <c r="A329" i="7" s="1"/>
  <c r="A330" i="7" s="1"/>
  <c r="A331" i="7" s="1"/>
  <c r="A332" i="7" s="1"/>
  <c r="A333" i="7" s="1"/>
  <c r="A334" i="7" s="1"/>
  <c r="A335" i="7" s="1"/>
  <c r="A336" i="7" s="1"/>
  <c r="A337" i="7" s="1"/>
  <c r="A338" i="7" s="1"/>
  <c r="A339" i="7" s="1"/>
  <c r="A340" i="7" s="1"/>
  <c r="A341" i="7" s="1"/>
  <c r="A342" i="7" s="1"/>
  <c r="A343" i="7" s="1"/>
  <c r="A344" i="7" s="1"/>
  <c r="A345" i="7" s="1"/>
  <c r="A346" i="7" s="1"/>
  <c r="A347" i="7" s="1"/>
  <c r="A348" i="7" s="1"/>
  <c r="A349" i="7" s="1"/>
  <c r="A350" i="7" s="1"/>
  <c r="A351" i="7" s="1"/>
  <c r="A352" i="7" s="1"/>
  <c r="A353" i="7" s="1"/>
  <c r="A354" i="7" s="1"/>
  <c r="A355" i="7" s="1"/>
  <c r="A356" i="7" s="1"/>
  <c r="A357" i="7" s="1"/>
  <c r="A358" i="7" s="1"/>
  <c r="A359" i="7" s="1"/>
  <c r="A360" i="7" s="1"/>
  <c r="A361" i="7" s="1"/>
  <c r="A362" i="7" s="1"/>
  <c r="A363" i="7" s="1"/>
  <c r="A364" i="7" s="1"/>
  <c r="A365" i="7" s="1"/>
  <c r="A366" i="7" s="1"/>
  <c r="A367" i="7" s="1"/>
  <c r="A368" i="7" s="1"/>
  <c r="A369" i="7" s="1"/>
  <c r="A370" i="7" s="1"/>
  <c r="A371" i="7" s="1"/>
  <c r="A372" i="7" s="1"/>
  <c r="A373" i="7" s="1"/>
  <c r="A374" i="7" s="1"/>
  <c r="A375" i="7" s="1"/>
  <c r="A376" i="7" s="1"/>
  <c r="A377" i="7" s="1"/>
  <c r="A378" i="7" s="1"/>
  <c r="A379" i="7" s="1"/>
  <c r="A380" i="7" s="1"/>
  <c r="A381" i="7" s="1"/>
  <c r="A382" i="7" s="1"/>
  <c r="A383" i="7" s="1"/>
  <c r="A384" i="7" s="1"/>
  <c r="A385" i="7" s="1"/>
  <c r="A386" i="7" s="1"/>
  <c r="A387" i="7" s="1"/>
  <c r="A388" i="7" s="1"/>
  <c r="A389" i="7" s="1"/>
  <c r="A390" i="7" s="1"/>
  <c r="A391" i="7" s="1"/>
  <c r="A392" i="7" s="1"/>
  <c r="A393" i="7" s="1"/>
  <c r="A394" i="7" s="1"/>
  <c r="A395" i="7" s="1"/>
  <c r="A396" i="7" s="1"/>
  <c r="A397" i="7" s="1"/>
  <c r="A398" i="7" s="1"/>
  <c r="A399" i="7" s="1"/>
  <c r="A400" i="7" s="1"/>
  <c r="A401" i="7" s="1"/>
  <c r="A402" i="7" s="1"/>
  <c r="A403" i="7" s="1"/>
  <c r="A404" i="7" s="1"/>
  <c r="A405" i="7" s="1"/>
  <c r="A406" i="7" s="1"/>
  <c r="A407" i="7" s="1"/>
  <c r="A408" i="7" s="1"/>
  <c r="A409" i="7" s="1"/>
  <c r="A410" i="7" s="1"/>
  <c r="A411" i="7" s="1"/>
  <c r="A412" i="7" s="1"/>
  <c r="A413" i="7" s="1"/>
  <c r="A414" i="7" s="1"/>
  <c r="A415" i="7" s="1"/>
  <c r="A416" i="7" s="1"/>
  <c r="A417" i="7" s="1"/>
  <c r="A418" i="7" s="1"/>
  <c r="A419" i="7" s="1"/>
  <c r="A420" i="7" s="1"/>
  <c r="A421" i="7" s="1"/>
  <c r="A422" i="7" s="1"/>
  <c r="A423" i="7" s="1"/>
  <c r="A424" i="7" s="1"/>
  <c r="A425" i="7" s="1"/>
  <c r="A426" i="7" s="1"/>
  <c r="A427" i="7" s="1"/>
  <c r="A428" i="7" s="1"/>
  <c r="A429" i="7" s="1"/>
  <c r="A430" i="7" s="1"/>
  <c r="A431" i="7" s="1"/>
  <c r="A432" i="7" s="1"/>
  <c r="A433" i="7" s="1"/>
  <c r="A434" i="7" s="1"/>
  <c r="A435" i="7" s="1"/>
  <c r="A436" i="7" s="1"/>
  <c r="A437" i="7" s="1"/>
  <c r="A438" i="7" s="1"/>
  <c r="A439" i="7" s="1"/>
  <c r="A440" i="7" s="1"/>
  <c r="A441" i="7" s="1"/>
  <c r="A442" i="7" s="1"/>
  <c r="A443" i="7" s="1"/>
  <c r="A444" i="7" s="1"/>
  <c r="A445" i="7" s="1"/>
  <c r="A446" i="7" s="1"/>
  <c r="A447" i="7" s="1"/>
  <c r="A448" i="7" s="1"/>
  <c r="A449" i="7" s="1"/>
  <c r="A450" i="7" s="1"/>
  <c r="A451" i="7" s="1"/>
  <c r="A452" i="7" s="1"/>
  <c r="A453" i="7" s="1"/>
  <c r="A454" i="7" s="1"/>
  <c r="A455" i="7" s="1"/>
  <c r="A456" i="7" s="1"/>
  <c r="A457" i="7" s="1"/>
  <c r="A458" i="7" s="1"/>
  <c r="A459" i="7" s="1"/>
  <c r="A460" i="7" s="1"/>
  <c r="A461" i="7" s="1"/>
  <c r="A462" i="7" s="1"/>
  <c r="A463" i="7" s="1"/>
  <c r="A464" i="7" s="1"/>
  <c r="A465" i="7" s="1"/>
  <c r="A466" i="7" s="1"/>
  <c r="A467" i="7" s="1"/>
  <c r="A468" i="7" s="1"/>
  <c r="A469" i="7" s="1"/>
  <c r="A470" i="7" s="1"/>
  <c r="A471" i="7" s="1"/>
  <c r="A472" i="7" s="1"/>
  <c r="A473" i="7" s="1"/>
  <c r="A474" i="7" s="1"/>
  <c r="A475" i="7" s="1"/>
  <c r="A476" i="7" s="1"/>
  <c r="A477" i="7" s="1"/>
  <c r="A478" i="7" s="1"/>
  <c r="A479" i="7" s="1"/>
  <c r="A480" i="7" s="1"/>
  <c r="A481" i="7" s="1"/>
  <c r="A482" i="7" s="1"/>
  <c r="A483" i="7" s="1"/>
  <c r="A484" i="7" s="1"/>
  <c r="A485" i="7" s="1"/>
  <c r="A486" i="7" s="1"/>
  <c r="A487" i="7" s="1"/>
  <c r="A488" i="7" s="1"/>
  <c r="A489" i="7" s="1"/>
  <c r="A490" i="7" s="1"/>
  <c r="A491" i="7" s="1"/>
  <c r="A492" i="7" s="1"/>
  <c r="A493" i="7" s="1"/>
  <c r="A494" i="7" s="1"/>
  <c r="A495" i="7" s="1"/>
  <c r="A496" i="7" s="1"/>
  <c r="A497" i="7" s="1"/>
  <c r="A498" i="7" s="1"/>
  <c r="C484" i="7"/>
  <c r="C483" i="7"/>
  <c r="C476" i="7"/>
  <c r="C475" i="7"/>
  <c r="C474" i="7"/>
  <c r="C473" i="7"/>
  <c r="C472" i="7"/>
  <c r="C471" i="7"/>
  <c r="C470" i="7"/>
  <c r="C469" i="7"/>
  <c r="C468" i="7"/>
  <c r="C467" i="7"/>
  <c r="C466" i="7"/>
  <c r="C465" i="7"/>
  <c r="C464" i="7"/>
  <c r="C463" i="7"/>
  <c r="C462" i="7"/>
  <c r="C461" i="7"/>
  <c r="C460" i="7"/>
  <c r="C459" i="7"/>
  <c r="C458" i="7"/>
  <c r="C457" i="7"/>
  <c r="C456" i="7"/>
  <c r="C455" i="7"/>
  <c r="C454" i="7"/>
  <c r="C453" i="7"/>
  <c r="C477" i="7"/>
  <c r="C478" i="7"/>
  <c r="C479" i="7"/>
  <c r="C480" i="7"/>
  <c r="C481" i="7"/>
  <c r="C482" i="7"/>
  <c r="C486" i="7"/>
  <c r="C487" i="7"/>
  <c r="C488" i="7"/>
  <c r="C489" i="7"/>
  <c r="C490" i="7"/>
  <c r="C491" i="7"/>
  <c r="C492" i="7"/>
  <c r="C493" i="7"/>
  <c r="C494" i="7"/>
  <c r="C495" i="7"/>
  <c r="C496" i="7"/>
  <c r="C497" i="7"/>
  <c r="C510" i="7"/>
  <c r="C511" i="7"/>
  <c r="C452" i="7"/>
  <c r="C451" i="7"/>
  <c r="C450" i="7"/>
  <c r="C449" i="7"/>
  <c r="C448" i="7"/>
  <c r="C447" i="7"/>
  <c r="C446" i="7"/>
  <c r="C445" i="7"/>
  <c r="C441" i="7"/>
  <c r="C440" i="7"/>
  <c r="C439" i="7"/>
  <c r="C438" i="7"/>
  <c r="C437" i="7"/>
  <c r="C436" i="7"/>
  <c r="A100" i="21"/>
  <c r="C429" i="7"/>
  <c r="C428" i="7"/>
  <c r="C427" i="7"/>
  <c r="C421" i="7"/>
  <c r="C422" i="7"/>
  <c r="C423" i="7"/>
  <c r="C395" i="7"/>
  <c r="C396" i="7"/>
  <c r="C397" i="7"/>
  <c r="C398" i="7"/>
  <c r="C399" i="7"/>
  <c r="C444" i="7"/>
  <c r="C443" i="7"/>
  <c r="C442" i="7"/>
  <c r="C435" i="7"/>
  <c r="C434" i="7"/>
  <c r="C433" i="7"/>
  <c r="C426" i="7"/>
  <c r="C425" i="7"/>
  <c r="C424" i="7"/>
  <c r="C404" i="7"/>
  <c r="C405" i="7"/>
  <c r="C406" i="7"/>
  <c r="C407" i="7"/>
  <c r="C408" i="7"/>
  <c r="C409" i="7"/>
  <c r="C410" i="7"/>
  <c r="C411" i="7"/>
  <c r="C412" i="7"/>
  <c r="C413" i="7"/>
  <c r="C414" i="7"/>
  <c r="C415" i="7"/>
  <c r="C416" i="7"/>
  <c r="C417" i="7"/>
  <c r="C418" i="7"/>
  <c r="C419" i="7"/>
  <c r="C420" i="7"/>
  <c r="C403" i="7"/>
  <c r="C401" i="7"/>
  <c r="C402" i="7"/>
  <c r="N23" i="24"/>
  <c r="M23" i="24"/>
  <c r="K23" i="24"/>
  <c r="J16" i="23"/>
  <c r="C400" i="7"/>
  <c r="C391" i="7"/>
  <c r="C392" i="7"/>
  <c r="C393" i="7"/>
  <c r="C394" i="7"/>
  <c r="C385" i="7"/>
  <c r="C386" i="7"/>
  <c r="C387" i="7"/>
  <c r="C388" i="7"/>
  <c r="C389" i="7"/>
  <c r="C390" i="7"/>
  <c r="C384" i="7"/>
  <c r="C383" i="7"/>
  <c r="C382" i="7"/>
  <c r="C381" i="7"/>
  <c r="C380" i="7"/>
  <c r="C379" i="7"/>
  <c r="N4" i="23"/>
  <c r="C378" i="7"/>
  <c r="C377" i="7"/>
  <c r="C376" i="7"/>
  <c r="C375" i="7"/>
  <c r="C4" i="26"/>
  <c r="B8" i="18"/>
  <c r="D8" i="18" s="1"/>
  <c r="G4" i="18"/>
  <c r="B21" i="18"/>
  <c r="F21" i="18" s="1"/>
  <c r="G17" i="18"/>
  <c r="C373" i="7"/>
  <c r="C374" i="7"/>
  <c r="C370" i="7"/>
  <c r="C371" i="7"/>
  <c r="C372" i="7"/>
  <c r="C351" i="7"/>
  <c r="C350" i="7"/>
  <c r="C349" i="7"/>
  <c r="C4" i="15"/>
  <c r="C321" i="7"/>
  <c r="C320" i="7"/>
  <c r="C324" i="7"/>
  <c r="C323" i="7"/>
  <c r="C322" i="7"/>
  <c r="C319" i="7"/>
  <c r="C343" i="7"/>
  <c r="C344" i="7"/>
  <c r="C345" i="7"/>
  <c r="C346" i="7"/>
  <c r="C347" i="7"/>
  <c r="C348" i="7"/>
  <c r="C355" i="7"/>
  <c r="C356" i="7"/>
  <c r="C357" i="7"/>
  <c r="B34" i="18"/>
  <c r="G30" i="18"/>
  <c r="G43" i="18"/>
  <c r="B47" i="18"/>
  <c r="D47" i="18" s="1"/>
  <c r="G56" i="18"/>
  <c r="B60" i="18"/>
  <c r="H60" i="18" s="1"/>
  <c r="N7" i="24"/>
  <c r="N8" i="24"/>
  <c r="N9" i="24"/>
  <c r="N10" i="24"/>
  <c r="N11" i="24"/>
  <c r="N12" i="24"/>
  <c r="N13" i="24"/>
  <c r="N15" i="24"/>
  <c r="N16" i="24"/>
  <c r="N17" i="24"/>
  <c r="N18" i="24"/>
  <c r="N19" i="24"/>
  <c r="N20" i="24"/>
  <c r="N21" i="24"/>
  <c r="N22" i="24"/>
  <c r="N24" i="24"/>
  <c r="N25" i="24"/>
  <c r="N26" i="24"/>
  <c r="N27" i="24"/>
  <c r="N28" i="24"/>
  <c r="N29" i="24"/>
  <c r="N30" i="24"/>
  <c r="N31" i="24"/>
  <c r="N32" i="24"/>
  <c r="N33" i="24"/>
  <c r="N34" i="24"/>
  <c r="N35" i="24"/>
  <c r="N36" i="24"/>
  <c r="N37" i="24"/>
  <c r="N38" i="24"/>
  <c r="N39" i="24"/>
  <c r="N40" i="24"/>
  <c r="N41" i="24"/>
  <c r="N42" i="24"/>
  <c r="N43" i="24"/>
  <c r="N44" i="24"/>
  <c r="N45" i="24"/>
  <c r="N46" i="24"/>
  <c r="N47" i="24"/>
  <c r="N48" i="24"/>
  <c r="N49" i="24"/>
  <c r="N50" i="24"/>
  <c r="N51" i="24"/>
  <c r="N52" i="24"/>
  <c r="N53" i="24"/>
  <c r="N54" i="24"/>
  <c r="N55" i="24"/>
  <c r="N56" i="24"/>
  <c r="N57" i="24"/>
  <c r="N58" i="24"/>
  <c r="N59" i="24"/>
  <c r="N60" i="24"/>
  <c r="N61" i="24"/>
  <c r="N62" i="24"/>
  <c r="N63" i="24"/>
  <c r="N64" i="24"/>
  <c r="N65" i="24"/>
  <c r="N66" i="24"/>
  <c r="N67" i="24"/>
  <c r="N68" i="24"/>
  <c r="N69" i="24"/>
  <c r="N70" i="24"/>
  <c r="N71" i="24"/>
  <c r="N6" i="24"/>
  <c r="M7" i="24"/>
  <c r="M8" i="24"/>
  <c r="M9" i="24"/>
  <c r="M10" i="24"/>
  <c r="M11" i="24"/>
  <c r="M12" i="24"/>
  <c r="M13" i="24"/>
  <c r="M14" i="24"/>
  <c r="N14" i="24" s="1"/>
  <c r="M15" i="24"/>
  <c r="M16" i="24"/>
  <c r="M17" i="24"/>
  <c r="M18" i="24"/>
  <c r="M19" i="24"/>
  <c r="M20" i="24"/>
  <c r="M21" i="24"/>
  <c r="M22" i="24"/>
  <c r="M24" i="24"/>
  <c r="M25" i="24"/>
  <c r="M26" i="24"/>
  <c r="M27" i="24"/>
  <c r="M28" i="24"/>
  <c r="M29" i="24"/>
  <c r="M30" i="24"/>
  <c r="M31" i="24"/>
  <c r="M32" i="24"/>
  <c r="M33" i="24"/>
  <c r="M34" i="24"/>
  <c r="M35" i="24"/>
  <c r="M36" i="24"/>
  <c r="M37" i="24"/>
  <c r="M38" i="24"/>
  <c r="M39" i="24"/>
  <c r="M40" i="24"/>
  <c r="M41" i="24"/>
  <c r="M42" i="24"/>
  <c r="M43" i="24"/>
  <c r="M44" i="24"/>
  <c r="M45" i="24"/>
  <c r="M46" i="24"/>
  <c r="M47" i="24"/>
  <c r="M48" i="24"/>
  <c r="M49" i="24"/>
  <c r="M50" i="24"/>
  <c r="M51" i="24"/>
  <c r="M52" i="24"/>
  <c r="M53" i="24"/>
  <c r="M54" i="24"/>
  <c r="M55" i="24"/>
  <c r="M56" i="24"/>
  <c r="M57" i="24"/>
  <c r="M58" i="24"/>
  <c r="M59" i="24"/>
  <c r="M60" i="24"/>
  <c r="M61" i="24"/>
  <c r="M62" i="24"/>
  <c r="M63" i="24"/>
  <c r="M64" i="24"/>
  <c r="M65" i="24"/>
  <c r="M66" i="24"/>
  <c r="M67" i="24"/>
  <c r="M68" i="24"/>
  <c r="M69" i="24"/>
  <c r="M70" i="24"/>
  <c r="M71" i="24"/>
  <c r="K12" i="24"/>
  <c r="K13" i="24"/>
  <c r="K14" i="24"/>
  <c r="K15" i="24"/>
  <c r="K16" i="24"/>
  <c r="K17" i="24"/>
  <c r="K18" i="24"/>
  <c r="K19" i="24"/>
  <c r="K20" i="24"/>
  <c r="K21" i="24"/>
  <c r="K22" i="24"/>
  <c r="K24" i="24"/>
  <c r="K25" i="24"/>
  <c r="K26" i="24"/>
  <c r="K27" i="24"/>
  <c r="K28" i="24"/>
  <c r="K29" i="24"/>
  <c r="K30" i="24"/>
  <c r="K31" i="24"/>
  <c r="K32" i="24"/>
  <c r="K33" i="24"/>
  <c r="K34" i="24"/>
  <c r="K35" i="24"/>
  <c r="K36" i="24"/>
  <c r="K37" i="24"/>
  <c r="K38" i="24"/>
  <c r="K39" i="24"/>
  <c r="K40" i="24"/>
  <c r="K41" i="24"/>
  <c r="K42" i="24"/>
  <c r="K43" i="24"/>
  <c r="K44" i="24"/>
  <c r="K45" i="24"/>
  <c r="K46" i="24"/>
  <c r="K47" i="24"/>
  <c r="K48" i="24"/>
  <c r="K49" i="24"/>
  <c r="K50" i="24"/>
  <c r="K51" i="24"/>
  <c r="K52" i="24"/>
  <c r="K53" i="24"/>
  <c r="K54" i="24"/>
  <c r="K55" i="24"/>
  <c r="K56" i="24"/>
  <c r="K57" i="24"/>
  <c r="K58" i="24"/>
  <c r="K59" i="24"/>
  <c r="K60" i="24"/>
  <c r="K61" i="24"/>
  <c r="K62" i="24"/>
  <c r="K63" i="24"/>
  <c r="K64" i="24"/>
  <c r="K65" i="24"/>
  <c r="K66" i="24"/>
  <c r="K67" i="24"/>
  <c r="K68" i="24"/>
  <c r="K69" i="24"/>
  <c r="K70" i="24"/>
  <c r="K71" i="24"/>
  <c r="K7" i="24"/>
  <c r="K8" i="24"/>
  <c r="K9" i="24"/>
  <c r="K10" i="24"/>
  <c r="K11" i="24"/>
  <c r="K6" i="24"/>
  <c r="M6" i="24"/>
  <c r="C272" i="7"/>
  <c r="C271" i="7"/>
  <c r="C270" i="7"/>
  <c r="C269" i="7"/>
  <c r="C268" i="7"/>
  <c r="C267" i="7"/>
  <c r="J7" i="23"/>
  <c r="J8" i="23"/>
  <c r="J9" i="23"/>
  <c r="J10" i="23"/>
  <c r="J11" i="23"/>
  <c r="J12" i="23"/>
  <c r="J13" i="23"/>
  <c r="J15" i="23"/>
  <c r="J14" i="23"/>
  <c r="J17" i="23"/>
  <c r="J18" i="23"/>
  <c r="J19" i="23"/>
  <c r="J20" i="23"/>
  <c r="J21" i="23"/>
  <c r="J22" i="23"/>
  <c r="J23" i="23"/>
  <c r="J24" i="23"/>
  <c r="J25" i="23"/>
  <c r="J26" i="23"/>
  <c r="J27" i="23"/>
  <c r="J28" i="23"/>
  <c r="J29" i="23"/>
  <c r="J30" i="23"/>
  <c r="J31" i="23"/>
  <c r="J32" i="23"/>
  <c r="J33" i="23"/>
  <c r="J34" i="23"/>
  <c r="J35" i="23"/>
  <c r="J36" i="23"/>
  <c r="J37" i="23"/>
  <c r="J38" i="23"/>
  <c r="J39" i="23"/>
  <c r="J40" i="23"/>
  <c r="J41" i="23"/>
  <c r="J42" i="23"/>
  <c r="J43" i="23"/>
  <c r="J44" i="23"/>
  <c r="J45" i="23"/>
  <c r="J46" i="23"/>
  <c r="J47" i="23"/>
  <c r="J48" i="23"/>
  <c r="J49" i="23"/>
  <c r="J50" i="23"/>
  <c r="J51" i="23"/>
  <c r="J52" i="23"/>
  <c r="J53" i="23"/>
  <c r="J54" i="23"/>
  <c r="J55" i="23"/>
  <c r="J56" i="23"/>
  <c r="J57" i="23"/>
  <c r="J58" i="23"/>
  <c r="J59" i="23"/>
  <c r="J60" i="23"/>
  <c r="J61" i="23"/>
  <c r="J62" i="23"/>
  <c r="J63" i="23"/>
  <c r="J64" i="23"/>
  <c r="J65" i="23"/>
  <c r="J66" i="23"/>
  <c r="J67" i="23"/>
  <c r="J68" i="23"/>
  <c r="J69" i="23"/>
  <c r="J70" i="23"/>
  <c r="J71" i="23"/>
  <c r="J6" i="23"/>
  <c r="C265" i="7"/>
  <c r="C264" i="7"/>
  <c r="C263" i="7"/>
  <c r="C256" i="7"/>
  <c r="C255" i="7"/>
  <c r="C254" i="7"/>
  <c r="C253" i="7"/>
  <c r="C252" i="7"/>
  <c r="C251" i="7"/>
  <c r="C266" i="7"/>
  <c r="C288" i="7"/>
  <c r="C289" i="7"/>
  <c r="C290" i="7"/>
  <c r="C294" i="7"/>
  <c r="C295" i="7"/>
  <c r="C296" i="7"/>
  <c r="C297" i="7"/>
  <c r="C298" i="7"/>
  <c r="C299" i="7"/>
  <c r="C303" i="7"/>
  <c r="C304" i="7"/>
  <c r="C305" i="7"/>
  <c r="C306" i="7"/>
  <c r="C307" i="7"/>
  <c r="C308" i="7"/>
  <c r="C232" i="7"/>
  <c r="C231" i="7"/>
  <c r="C190" i="7"/>
  <c r="C189" i="7"/>
  <c r="C188" i="7"/>
  <c r="H8" i="26"/>
  <c r="C8" i="26"/>
  <c r="B8" i="26" s="1"/>
  <c r="D8" i="26"/>
  <c r="F8" i="26"/>
  <c r="G8" i="26"/>
  <c r="E8" i="26"/>
  <c r="C169" i="7"/>
  <c r="C168" i="7"/>
  <c r="C167" i="7"/>
  <c r="C166" i="7"/>
  <c r="C248" i="7"/>
  <c r="C249" i="7"/>
  <c r="C250" i="7"/>
  <c r="C230" i="7"/>
  <c r="C184" i="7"/>
  <c r="C182" i="7"/>
  <c r="C183" i="7"/>
  <c r="C152" i="7"/>
  <c r="C153" i="7"/>
  <c r="C151" i="7"/>
  <c r="C150" i="7"/>
  <c r="C149" i="7"/>
  <c r="C148" i="7"/>
  <c r="B109" i="12"/>
  <c r="C109" i="12"/>
  <c r="D109" i="12"/>
  <c r="E109" i="12"/>
  <c r="F109" i="12" s="1"/>
  <c r="H109" i="12"/>
  <c r="I109" i="12" s="1"/>
  <c r="J109" i="12"/>
  <c r="M109" i="12"/>
  <c r="B110" i="12"/>
  <c r="C110" i="12"/>
  <c r="D110" i="12"/>
  <c r="E110" i="12"/>
  <c r="F110" i="12" s="1"/>
  <c r="H110" i="12"/>
  <c r="I110" i="12" s="1"/>
  <c r="J110" i="12"/>
  <c r="M110" i="12"/>
  <c r="B111" i="12"/>
  <c r="C111" i="12"/>
  <c r="D111" i="12"/>
  <c r="E111" i="12"/>
  <c r="F111" i="12" s="1"/>
  <c r="H111" i="12"/>
  <c r="I111" i="12" s="1"/>
  <c r="J111" i="12"/>
  <c r="M111" i="12"/>
  <c r="B112" i="12"/>
  <c r="C112" i="12"/>
  <c r="D112" i="12"/>
  <c r="E112" i="12"/>
  <c r="F112" i="12" s="1"/>
  <c r="H112" i="12"/>
  <c r="I112" i="12" s="1"/>
  <c r="J112" i="12"/>
  <c r="M112" i="12"/>
  <c r="B113" i="12"/>
  <c r="C113" i="12"/>
  <c r="D113" i="12"/>
  <c r="E113" i="12"/>
  <c r="F113" i="12" s="1"/>
  <c r="H113" i="12"/>
  <c r="I113" i="12" s="1"/>
  <c r="J113" i="12"/>
  <c r="M113" i="12"/>
  <c r="B114" i="12"/>
  <c r="C114" i="12"/>
  <c r="D114" i="12"/>
  <c r="E114" i="12"/>
  <c r="F114" i="12" s="1"/>
  <c r="H114" i="12"/>
  <c r="I114" i="12" s="1"/>
  <c r="J114" i="12"/>
  <c r="M114" i="12"/>
  <c r="B115" i="12"/>
  <c r="C115" i="12"/>
  <c r="D115" i="12"/>
  <c r="E115" i="12"/>
  <c r="F115" i="12" s="1"/>
  <c r="H115" i="12"/>
  <c r="I115" i="12" s="1"/>
  <c r="J115" i="12"/>
  <c r="M115" i="12"/>
  <c r="B116" i="12"/>
  <c r="C116" i="12"/>
  <c r="D116" i="12"/>
  <c r="E116" i="12"/>
  <c r="F116" i="12" s="1"/>
  <c r="H116" i="12"/>
  <c r="I116" i="12" s="1"/>
  <c r="J116" i="12"/>
  <c r="M116" i="12"/>
  <c r="B117" i="12"/>
  <c r="C117" i="12"/>
  <c r="D117" i="12"/>
  <c r="E117" i="12"/>
  <c r="F117" i="12" s="1"/>
  <c r="H117" i="12"/>
  <c r="I117" i="12" s="1"/>
  <c r="J117" i="12"/>
  <c r="M117" i="12"/>
  <c r="B118" i="12"/>
  <c r="C118" i="12"/>
  <c r="D118" i="12"/>
  <c r="E118" i="12"/>
  <c r="F118" i="12" s="1"/>
  <c r="H118" i="12"/>
  <c r="I118" i="12" s="1"/>
  <c r="J118" i="12"/>
  <c r="M118" i="12"/>
  <c r="B119" i="12"/>
  <c r="C119" i="12"/>
  <c r="D119" i="12"/>
  <c r="E119" i="12"/>
  <c r="F119" i="12" s="1"/>
  <c r="H119" i="12"/>
  <c r="I119" i="12" s="1"/>
  <c r="J119" i="12"/>
  <c r="M119" i="12"/>
  <c r="B120" i="12"/>
  <c r="C120" i="12"/>
  <c r="D120" i="12"/>
  <c r="E120" i="12"/>
  <c r="F120" i="12" s="1"/>
  <c r="H120" i="12"/>
  <c r="I120" i="12" s="1"/>
  <c r="J120" i="12"/>
  <c r="M120" i="12"/>
  <c r="B121" i="12"/>
  <c r="C121" i="12"/>
  <c r="D121" i="12"/>
  <c r="E121" i="12"/>
  <c r="F121" i="12" s="1"/>
  <c r="H121" i="12"/>
  <c r="I121" i="12" s="1"/>
  <c r="J121" i="12"/>
  <c r="M121" i="12"/>
  <c r="B122" i="12"/>
  <c r="C122" i="12"/>
  <c r="D122" i="12"/>
  <c r="E122" i="12"/>
  <c r="F122" i="12" s="1"/>
  <c r="H122" i="12"/>
  <c r="I122" i="12" s="1"/>
  <c r="J122" i="12"/>
  <c r="M122" i="12"/>
  <c r="B123" i="12"/>
  <c r="C123" i="12"/>
  <c r="D123" i="12"/>
  <c r="E123" i="12"/>
  <c r="F123" i="12" s="1"/>
  <c r="H123" i="12"/>
  <c r="I123" i="12" s="1"/>
  <c r="J123" i="12"/>
  <c r="M123" i="12"/>
  <c r="B124" i="12"/>
  <c r="C124" i="12"/>
  <c r="D124" i="12"/>
  <c r="E124" i="12"/>
  <c r="F124" i="12" s="1"/>
  <c r="H124" i="12"/>
  <c r="I124" i="12" s="1"/>
  <c r="J124" i="12"/>
  <c r="M124" i="12"/>
  <c r="B125" i="12"/>
  <c r="C125" i="12"/>
  <c r="D125" i="12"/>
  <c r="E125" i="12"/>
  <c r="F125" i="12" s="1"/>
  <c r="H125" i="12"/>
  <c r="I125" i="12" s="1"/>
  <c r="J125" i="12"/>
  <c r="M125" i="12"/>
  <c r="B126" i="12"/>
  <c r="C126" i="12"/>
  <c r="D126" i="12"/>
  <c r="E126" i="12"/>
  <c r="F126" i="12" s="1"/>
  <c r="H126" i="12"/>
  <c r="I126" i="12" s="1"/>
  <c r="J126" i="12"/>
  <c r="M126" i="12"/>
  <c r="B127" i="12"/>
  <c r="C127" i="12"/>
  <c r="D127" i="12"/>
  <c r="E127" i="12"/>
  <c r="F127" i="12" s="1"/>
  <c r="H127" i="12"/>
  <c r="I127" i="12" s="1"/>
  <c r="J127" i="12"/>
  <c r="M127" i="12"/>
  <c r="B128" i="12"/>
  <c r="C128" i="12"/>
  <c r="D128" i="12"/>
  <c r="E128" i="12"/>
  <c r="F128" i="12" s="1"/>
  <c r="H128" i="12"/>
  <c r="I128" i="12" s="1"/>
  <c r="J128" i="12"/>
  <c r="M128" i="12"/>
  <c r="B129" i="12"/>
  <c r="C129" i="12"/>
  <c r="D129" i="12"/>
  <c r="E129" i="12"/>
  <c r="F129" i="12" s="1"/>
  <c r="H129" i="12"/>
  <c r="I129" i="12" s="1"/>
  <c r="J129" i="12"/>
  <c r="M129" i="12"/>
  <c r="B130" i="12"/>
  <c r="C130" i="12"/>
  <c r="D130" i="12"/>
  <c r="E130" i="12"/>
  <c r="F130" i="12" s="1"/>
  <c r="H130" i="12"/>
  <c r="I130" i="12" s="1"/>
  <c r="J130" i="12"/>
  <c r="M130" i="12"/>
  <c r="B131" i="12"/>
  <c r="C131" i="12"/>
  <c r="D131" i="12"/>
  <c r="E131" i="12"/>
  <c r="F131" i="12" s="1"/>
  <c r="H131" i="12"/>
  <c r="I131" i="12" s="1"/>
  <c r="J131" i="12"/>
  <c r="M131" i="12"/>
  <c r="B132" i="12"/>
  <c r="C132" i="12"/>
  <c r="D132" i="12"/>
  <c r="E132" i="12"/>
  <c r="F132" i="12" s="1"/>
  <c r="H132" i="12"/>
  <c r="I132" i="12" s="1"/>
  <c r="J132" i="12"/>
  <c r="M132" i="12"/>
  <c r="B133" i="12"/>
  <c r="C133" i="12"/>
  <c r="D133" i="12"/>
  <c r="E133" i="12"/>
  <c r="F133" i="12" s="1"/>
  <c r="H133" i="12"/>
  <c r="I133" i="12" s="1"/>
  <c r="J133" i="12"/>
  <c r="M133" i="12"/>
  <c r="B134" i="12"/>
  <c r="C134" i="12"/>
  <c r="D134" i="12"/>
  <c r="E134" i="12"/>
  <c r="F134" i="12" s="1"/>
  <c r="H134" i="12"/>
  <c r="I134" i="12" s="1"/>
  <c r="J134" i="12"/>
  <c r="M134" i="12"/>
  <c r="B135" i="12"/>
  <c r="C135" i="12"/>
  <c r="D135" i="12"/>
  <c r="E135" i="12"/>
  <c r="F135" i="12" s="1"/>
  <c r="H135" i="12"/>
  <c r="I135" i="12" s="1"/>
  <c r="J135" i="12"/>
  <c r="M135" i="12"/>
  <c r="B136" i="12"/>
  <c r="C136" i="12"/>
  <c r="D136" i="12"/>
  <c r="E136" i="12"/>
  <c r="F136" i="12" s="1"/>
  <c r="H136" i="12"/>
  <c r="I136" i="12" s="1"/>
  <c r="J136" i="12"/>
  <c r="M136" i="12"/>
  <c r="B137" i="12"/>
  <c r="C137" i="12"/>
  <c r="D137" i="12"/>
  <c r="E137" i="12"/>
  <c r="F137" i="12" s="1"/>
  <c r="H137" i="12"/>
  <c r="I137" i="12" s="1"/>
  <c r="J137" i="12"/>
  <c r="M137" i="12"/>
  <c r="B138" i="12"/>
  <c r="C138" i="12"/>
  <c r="D138" i="12"/>
  <c r="E138" i="12"/>
  <c r="F138" i="12" s="1"/>
  <c r="H138" i="12"/>
  <c r="I138" i="12" s="1"/>
  <c r="J138" i="12"/>
  <c r="M138" i="12"/>
  <c r="B139" i="12"/>
  <c r="C139" i="12"/>
  <c r="D139" i="12"/>
  <c r="E139" i="12"/>
  <c r="F139" i="12" s="1"/>
  <c r="H139" i="12"/>
  <c r="I139" i="12" s="1"/>
  <c r="J139" i="12"/>
  <c r="M139" i="12"/>
  <c r="B140" i="12"/>
  <c r="C140" i="12"/>
  <c r="D140" i="12"/>
  <c r="E140" i="12"/>
  <c r="F140" i="12" s="1"/>
  <c r="H140" i="12"/>
  <c r="I140" i="12" s="1"/>
  <c r="J140" i="12"/>
  <c r="M140" i="12"/>
  <c r="B141" i="12"/>
  <c r="C141" i="12"/>
  <c r="D141" i="12"/>
  <c r="E141" i="12"/>
  <c r="F141" i="12" s="1"/>
  <c r="H141" i="12"/>
  <c r="I141" i="12" s="1"/>
  <c r="J141" i="12"/>
  <c r="M141" i="12"/>
  <c r="B142" i="12"/>
  <c r="C142" i="12"/>
  <c r="D142" i="12"/>
  <c r="E142" i="12"/>
  <c r="F142" i="12" s="1"/>
  <c r="H142" i="12"/>
  <c r="I142" i="12" s="1"/>
  <c r="J142" i="12"/>
  <c r="M142" i="12"/>
  <c r="B143" i="12"/>
  <c r="C143" i="12"/>
  <c r="D143" i="12"/>
  <c r="E143" i="12"/>
  <c r="F143" i="12" s="1"/>
  <c r="H143" i="12"/>
  <c r="I143" i="12" s="1"/>
  <c r="J143" i="12"/>
  <c r="M143" i="12"/>
  <c r="B144" i="12"/>
  <c r="C144" i="12"/>
  <c r="D144" i="12"/>
  <c r="E144" i="12"/>
  <c r="F144" i="12" s="1"/>
  <c r="H144" i="12"/>
  <c r="I144" i="12" s="1"/>
  <c r="J144" i="12"/>
  <c r="M144" i="12"/>
  <c r="B145" i="12"/>
  <c r="C145" i="12"/>
  <c r="D145" i="12"/>
  <c r="E145" i="12"/>
  <c r="F145" i="12" s="1"/>
  <c r="H145" i="12"/>
  <c r="I145" i="12" s="1"/>
  <c r="J145" i="12"/>
  <c r="M145" i="12"/>
  <c r="B81" i="12"/>
  <c r="C81" i="12"/>
  <c r="D81" i="12"/>
  <c r="E81" i="12"/>
  <c r="F81" i="12" s="1"/>
  <c r="H81" i="12"/>
  <c r="I81" i="12" s="1"/>
  <c r="J81" i="12"/>
  <c r="M81" i="12"/>
  <c r="B82" i="12"/>
  <c r="C82" i="12"/>
  <c r="D82" i="12"/>
  <c r="E82" i="12"/>
  <c r="F82" i="12" s="1"/>
  <c r="H82" i="12"/>
  <c r="I82" i="12" s="1"/>
  <c r="J82" i="12"/>
  <c r="M82" i="12"/>
  <c r="B83" i="12"/>
  <c r="C83" i="12"/>
  <c r="D83" i="12"/>
  <c r="E83" i="12"/>
  <c r="F83" i="12" s="1"/>
  <c r="H83" i="12"/>
  <c r="I83" i="12" s="1"/>
  <c r="J83" i="12"/>
  <c r="K83" i="12" s="1"/>
  <c r="M83" i="12"/>
  <c r="B84" i="12"/>
  <c r="C84" i="12"/>
  <c r="D84" i="12"/>
  <c r="E84" i="12"/>
  <c r="F84" i="12" s="1"/>
  <c r="H84" i="12"/>
  <c r="I84" i="12" s="1"/>
  <c r="J84" i="12"/>
  <c r="K84" i="12" s="1"/>
  <c r="M84" i="12"/>
  <c r="B85" i="12"/>
  <c r="C85" i="12"/>
  <c r="D85" i="12"/>
  <c r="E85" i="12"/>
  <c r="F85" i="12" s="1"/>
  <c r="H85" i="12"/>
  <c r="I85" i="12" s="1"/>
  <c r="J85" i="12"/>
  <c r="M85" i="12"/>
  <c r="B86" i="12"/>
  <c r="C86" i="12"/>
  <c r="D86" i="12"/>
  <c r="E86" i="12"/>
  <c r="F86" i="12" s="1"/>
  <c r="H86" i="12"/>
  <c r="I86" i="12" s="1"/>
  <c r="J86" i="12"/>
  <c r="M86" i="12"/>
  <c r="B87" i="12"/>
  <c r="C87" i="12"/>
  <c r="D87" i="12"/>
  <c r="E87" i="12"/>
  <c r="F87" i="12" s="1"/>
  <c r="H87" i="12"/>
  <c r="I87" i="12" s="1"/>
  <c r="J87" i="12"/>
  <c r="M87" i="12"/>
  <c r="B88" i="12"/>
  <c r="C88" i="12"/>
  <c r="D88" i="12"/>
  <c r="E88" i="12"/>
  <c r="F88" i="12" s="1"/>
  <c r="H88" i="12"/>
  <c r="I88" i="12" s="1"/>
  <c r="J88" i="12"/>
  <c r="M88" i="12"/>
  <c r="B89" i="12"/>
  <c r="C89" i="12"/>
  <c r="D89" i="12"/>
  <c r="E89" i="12"/>
  <c r="F89" i="12" s="1"/>
  <c r="H89" i="12"/>
  <c r="I89" i="12" s="1"/>
  <c r="J89" i="12"/>
  <c r="M89" i="12"/>
  <c r="B90" i="12"/>
  <c r="C90" i="12"/>
  <c r="D90" i="12"/>
  <c r="E90" i="12"/>
  <c r="F90" i="12" s="1"/>
  <c r="H90" i="12"/>
  <c r="I90" i="12" s="1"/>
  <c r="J90" i="12"/>
  <c r="M90" i="12"/>
  <c r="B91" i="12"/>
  <c r="C91" i="12"/>
  <c r="D91" i="12"/>
  <c r="E91" i="12"/>
  <c r="F91" i="12" s="1"/>
  <c r="H91" i="12"/>
  <c r="I91" i="12" s="1"/>
  <c r="J91" i="12"/>
  <c r="M91" i="12"/>
  <c r="B92" i="12"/>
  <c r="C92" i="12"/>
  <c r="D92" i="12"/>
  <c r="E92" i="12"/>
  <c r="F92" i="12" s="1"/>
  <c r="H92" i="12"/>
  <c r="I92" i="12" s="1"/>
  <c r="J92" i="12"/>
  <c r="M92" i="12"/>
  <c r="B93" i="12"/>
  <c r="C93" i="12"/>
  <c r="D93" i="12"/>
  <c r="E93" i="12"/>
  <c r="F93" i="12" s="1"/>
  <c r="H93" i="12"/>
  <c r="I93" i="12" s="1"/>
  <c r="J93" i="12"/>
  <c r="M93" i="12"/>
  <c r="B94" i="12"/>
  <c r="C94" i="12"/>
  <c r="D94" i="12"/>
  <c r="E94" i="12"/>
  <c r="F94" i="12" s="1"/>
  <c r="H94" i="12"/>
  <c r="I94" i="12" s="1"/>
  <c r="J94" i="12"/>
  <c r="M94" i="12"/>
  <c r="B95" i="12"/>
  <c r="C95" i="12"/>
  <c r="D95" i="12"/>
  <c r="E95" i="12"/>
  <c r="F95" i="12" s="1"/>
  <c r="H95" i="12"/>
  <c r="I95" i="12" s="1"/>
  <c r="J95" i="12"/>
  <c r="M95" i="12"/>
  <c r="B96" i="12"/>
  <c r="C96" i="12"/>
  <c r="D96" i="12"/>
  <c r="E96" i="12"/>
  <c r="F96" i="12" s="1"/>
  <c r="H96" i="12"/>
  <c r="I96" i="12" s="1"/>
  <c r="J96" i="12"/>
  <c r="M96" i="12"/>
  <c r="B97" i="12"/>
  <c r="C97" i="12"/>
  <c r="D97" i="12"/>
  <c r="E97" i="12"/>
  <c r="F97" i="12" s="1"/>
  <c r="H97" i="12"/>
  <c r="I97" i="12" s="1"/>
  <c r="J97" i="12"/>
  <c r="M97" i="12"/>
  <c r="B98" i="12"/>
  <c r="C98" i="12"/>
  <c r="D98" i="12"/>
  <c r="E98" i="12"/>
  <c r="F98" i="12" s="1"/>
  <c r="H98" i="12"/>
  <c r="I98" i="12" s="1"/>
  <c r="J98" i="12"/>
  <c r="M98" i="12"/>
  <c r="B99" i="12"/>
  <c r="C99" i="12"/>
  <c r="D99" i="12"/>
  <c r="E99" i="12"/>
  <c r="F99" i="12" s="1"/>
  <c r="H99" i="12"/>
  <c r="I99" i="12" s="1"/>
  <c r="J99" i="12"/>
  <c r="B100" i="12"/>
  <c r="C100" i="12"/>
  <c r="D100" i="12"/>
  <c r="E100" i="12"/>
  <c r="F100" i="12" s="1"/>
  <c r="H100" i="12"/>
  <c r="I100" i="12" s="1"/>
  <c r="J100" i="12"/>
  <c r="B101" i="12"/>
  <c r="C101" i="12"/>
  <c r="D101" i="12"/>
  <c r="E101" i="12"/>
  <c r="F101" i="12" s="1"/>
  <c r="H101" i="12"/>
  <c r="I101" i="12" s="1"/>
  <c r="J101" i="12"/>
  <c r="B102" i="12"/>
  <c r="C102" i="12"/>
  <c r="D102" i="12"/>
  <c r="E102" i="12"/>
  <c r="F102" i="12" s="1"/>
  <c r="H102" i="12"/>
  <c r="I102" i="12" s="1"/>
  <c r="J102" i="12"/>
  <c r="B103" i="12"/>
  <c r="C103" i="12"/>
  <c r="D103" i="12"/>
  <c r="E103" i="12"/>
  <c r="F103" i="12" s="1"/>
  <c r="H103" i="12"/>
  <c r="I103" i="12" s="1"/>
  <c r="J103" i="12"/>
  <c r="M103" i="12"/>
  <c r="B104" i="12"/>
  <c r="C104" i="12"/>
  <c r="D104" i="12"/>
  <c r="E104" i="12"/>
  <c r="F104" i="12" s="1"/>
  <c r="H104" i="12"/>
  <c r="I104" i="12" s="1"/>
  <c r="J104" i="12"/>
  <c r="M104" i="12"/>
  <c r="B105" i="12"/>
  <c r="C105" i="12"/>
  <c r="D105" i="12"/>
  <c r="E105" i="12"/>
  <c r="F105" i="12" s="1"/>
  <c r="H105" i="12"/>
  <c r="I105" i="12" s="1"/>
  <c r="J105" i="12"/>
  <c r="M105" i="12"/>
  <c r="B106" i="12"/>
  <c r="C106" i="12"/>
  <c r="D106" i="12"/>
  <c r="E106" i="12"/>
  <c r="F106" i="12" s="1"/>
  <c r="H106" i="12"/>
  <c r="I106" i="12" s="1"/>
  <c r="J106" i="12"/>
  <c r="M106" i="12"/>
  <c r="B107" i="12"/>
  <c r="C107" i="12"/>
  <c r="D107" i="12"/>
  <c r="E107" i="12"/>
  <c r="F107" i="12" s="1"/>
  <c r="H107" i="12"/>
  <c r="I107" i="12" s="1"/>
  <c r="J107" i="12"/>
  <c r="M107" i="12"/>
  <c r="B108" i="12"/>
  <c r="C108" i="12"/>
  <c r="D108" i="12"/>
  <c r="E108" i="12"/>
  <c r="F108" i="12" s="1"/>
  <c r="H108" i="12"/>
  <c r="I108" i="12" s="1"/>
  <c r="J108" i="12"/>
  <c r="M108" i="12"/>
  <c r="C144" i="7"/>
  <c r="C143" i="7"/>
  <c r="C142" i="7"/>
  <c r="V102" i="7"/>
  <c r="M102" i="12" s="1"/>
  <c r="N102" i="12" s="1"/>
  <c r="O102" i="12" s="1"/>
  <c r="V101" i="7"/>
  <c r="M101" i="12" s="1"/>
  <c r="N101" i="12" s="1"/>
  <c r="O101" i="12" s="1"/>
  <c r="V100" i="7"/>
  <c r="M100" i="12" s="1"/>
  <c r="N100" i="12" s="1"/>
  <c r="O100" i="12" s="1"/>
  <c r="C141" i="7"/>
  <c r="C140" i="7"/>
  <c r="C139" i="7"/>
  <c r="C138" i="7"/>
  <c r="C145" i="7"/>
  <c r="C146" i="7"/>
  <c r="C137" i="7"/>
  <c r="C136" i="7"/>
  <c r="C135" i="7"/>
  <c r="C134" i="7"/>
  <c r="C133" i="7"/>
  <c r="C132" i="7"/>
  <c r="C131" i="7"/>
  <c r="C130" i="7"/>
  <c r="V9" i="7"/>
  <c r="M9" i="12" s="1"/>
  <c r="N9" i="12" s="1"/>
  <c r="O9" i="12" s="1"/>
  <c r="V10" i="7"/>
  <c r="M10" i="12" s="1"/>
  <c r="N10" i="12" s="1"/>
  <c r="O10" i="12" s="1"/>
  <c r="V11" i="7"/>
  <c r="M11" i="12" s="1"/>
  <c r="N11" i="12" s="1"/>
  <c r="O11" i="12" s="1"/>
  <c r="V16" i="7"/>
  <c r="M16" i="12" s="1"/>
  <c r="N16" i="12" s="1"/>
  <c r="O16" i="12" s="1"/>
  <c r="V19" i="7"/>
  <c r="M19" i="12" s="1"/>
  <c r="N19" i="12" s="1"/>
  <c r="O19" i="12" s="1"/>
  <c r="V20" i="7"/>
  <c r="M20" i="12" s="1"/>
  <c r="N20" i="12" s="1"/>
  <c r="O20" i="12" s="1"/>
  <c r="V21" i="7"/>
  <c r="M21" i="12" s="1"/>
  <c r="N21" i="12" s="1"/>
  <c r="O21" i="12" s="1"/>
  <c r="V22" i="7"/>
  <c r="M22" i="12" s="1"/>
  <c r="N22" i="12" s="1"/>
  <c r="O22" i="12" s="1"/>
  <c r="V23" i="7"/>
  <c r="M23" i="12" s="1"/>
  <c r="N23" i="12" s="1"/>
  <c r="O23" i="12" s="1"/>
  <c r="V26" i="7"/>
  <c r="M26" i="12" s="1"/>
  <c r="N26" i="12" s="1"/>
  <c r="O26" i="12" s="1"/>
  <c r="V29" i="7"/>
  <c r="M29" i="12" s="1"/>
  <c r="N29" i="12" s="1"/>
  <c r="O29" i="12" s="1"/>
  <c r="V30" i="7"/>
  <c r="M30" i="12" s="1"/>
  <c r="N30" i="12" s="1"/>
  <c r="O30" i="12" s="1"/>
  <c r="V31" i="7"/>
  <c r="M31" i="12" s="1"/>
  <c r="N31" i="12" s="1"/>
  <c r="O31" i="12" s="1"/>
  <c r="V41" i="7"/>
  <c r="M41" i="12" s="1"/>
  <c r="N41" i="12" s="1"/>
  <c r="O41" i="12" s="1"/>
  <c r="V42" i="7"/>
  <c r="M42" i="12" s="1"/>
  <c r="N42" i="12" s="1"/>
  <c r="O42" i="12" s="1"/>
  <c r="V64" i="7"/>
  <c r="M64" i="12" s="1"/>
  <c r="N64" i="12" s="1"/>
  <c r="O64" i="12" s="1"/>
  <c r="V67" i="7"/>
  <c r="M67" i="12" s="1"/>
  <c r="N67" i="12" s="1"/>
  <c r="O67" i="12" s="1"/>
  <c r="V72" i="7"/>
  <c r="M72" i="12" s="1"/>
  <c r="N72" i="12" s="1"/>
  <c r="O72" i="12" s="1"/>
  <c r="V99" i="7"/>
  <c r="M99" i="12" s="1"/>
  <c r="N99" i="12" s="1"/>
  <c r="O99" i="12" s="1"/>
  <c r="C129" i="7"/>
  <c r="C128" i="7"/>
  <c r="C127" i="7"/>
  <c r="C115" i="7"/>
  <c r="C114" i="7"/>
  <c r="C113" i="7"/>
  <c r="C110" i="7"/>
  <c r="C109" i="7"/>
  <c r="C108" i="7"/>
  <c r="C147" i="7"/>
  <c r="C107" i="7"/>
  <c r="C106" i="7"/>
  <c r="C105" i="7"/>
  <c r="C98" i="7"/>
  <c r="C97" i="7"/>
  <c r="C96" i="7"/>
  <c r="C95" i="7"/>
  <c r="C94" i="7"/>
  <c r="C93" i="7"/>
  <c r="C92" i="7"/>
  <c r="C91" i="7"/>
  <c r="C90" i="7"/>
  <c r="C87" i="7"/>
  <c r="C88" i="7"/>
  <c r="C89" i="7"/>
  <c r="C85" i="7"/>
  <c r="C83" i="7"/>
  <c r="C81" i="7"/>
  <c r="C80" i="7"/>
  <c r="C76" i="7"/>
  <c r="C77" i="7"/>
  <c r="C69" i="7"/>
  <c r="C71" i="7"/>
  <c r="C72" i="7"/>
  <c r="C73" i="7"/>
  <c r="C74" i="7"/>
  <c r="B15" i="12"/>
  <c r="H58" i="12"/>
  <c r="I58" i="12" s="1"/>
  <c r="J58" i="12"/>
  <c r="B74" i="12"/>
  <c r="B75" i="12"/>
  <c r="B76" i="12"/>
  <c r="B77" i="12"/>
  <c r="B78" i="12"/>
  <c r="B79" i="12"/>
  <c r="B80" i="12"/>
  <c r="C75" i="12"/>
  <c r="C76" i="12"/>
  <c r="C77" i="12"/>
  <c r="C78" i="12"/>
  <c r="C79" i="12"/>
  <c r="C80" i="12"/>
  <c r="D74" i="12"/>
  <c r="D75" i="12"/>
  <c r="D76" i="12"/>
  <c r="D77" i="12"/>
  <c r="D78" i="12"/>
  <c r="D79" i="12"/>
  <c r="D80" i="12"/>
  <c r="E74" i="12"/>
  <c r="F74" i="12" s="1"/>
  <c r="E75" i="12"/>
  <c r="F75" i="12" s="1"/>
  <c r="E76" i="12"/>
  <c r="F76" i="12" s="1"/>
  <c r="E77" i="12"/>
  <c r="F77" i="12" s="1"/>
  <c r="E78" i="12"/>
  <c r="F78" i="12" s="1"/>
  <c r="E79" i="12"/>
  <c r="F79" i="12" s="1"/>
  <c r="E80" i="12"/>
  <c r="F80" i="12" s="1"/>
  <c r="H74" i="12"/>
  <c r="I74" i="12" s="1"/>
  <c r="H75" i="12"/>
  <c r="I75" i="12" s="1"/>
  <c r="H76" i="12"/>
  <c r="I76" i="12" s="1"/>
  <c r="H77" i="12"/>
  <c r="I77" i="12" s="1"/>
  <c r="H78" i="12"/>
  <c r="I78" i="12" s="1"/>
  <c r="H79" i="12"/>
  <c r="I79" i="12" s="1"/>
  <c r="H80" i="12"/>
  <c r="I80" i="12" s="1"/>
  <c r="J74" i="12"/>
  <c r="J75" i="12"/>
  <c r="J76" i="12"/>
  <c r="J77" i="12"/>
  <c r="J78" i="12"/>
  <c r="J79" i="12"/>
  <c r="J80" i="12"/>
  <c r="M74" i="12"/>
  <c r="M75" i="12"/>
  <c r="M76" i="12"/>
  <c r="M77" i="12"/>
  <c r="M78" i="12"/>
  <c r="M79" i="12"/>
  <c r="M80" i="12"/>
  <c r="B71" i="12"/>
  <c r="B72" i="12"/>
  <c r="B73" i="12"/>
  <c r="D71" i="12"/>
  <c r="D72" i="12"/>
  <c r="D73" i="12"/>
  <c r="E71" i="12"/>
  <c r="F71" i="12" s="1"/>
  <c r="E72" i="12"/>
  <c r="F72" i="12" s="1"/>
  <c r="E73" i="12"/>
  <c r="F73" i="12" s="1"/>
  <c r="F70" i="12"/>
  <c r="H70" i="12"/>
  <c r="I70" i="12" s="1"/>
  <c r="H71" i="12"/>
  <c r="I71" i="12" s="1"/>
  <c r="H72" i="12"/>
  <c r="I72" i="12" s="1"/>
  <c r="H73" i="12"/>
  <c r="I73" i="12" s="1"/>
  <c r="J70" i="12"/>
  <c r="J71" i="12"/>
  <c r="J72" i="12"/>
  <c r="J73" i="12"/>
  <c r="M70" i="12"/>
  <c r="M71" i="12"/>
  <c r="M73" i="12"/>
  <c r="C69" i="12"/>
  <c r="C70" i="12"/>
  <c r="H12" i="12"/>
  <c r="I12" i="12" s="1"/>
  <c r="J13" i="12"/>
  <c r="V8" i="7"/>
  <c r="M8" i="12" s="1"/>
  <c r="N8" i="12" s="1"/>
  <c r="O8" i="12" s="1"/>
  <c r="J10" i="12"/>
  <c r="K10" i="12" s="1"/>
  <c r="C68" i="7"/>
  <c r="M7" i="12"/>
  <c r="B67" i="12"/>
  <c r="B68" i="12"/>
  <c r="C67" i="12"/>
  <c r="C68" i="12"/>
  <c r="D67" i="12"/>
  <c r="D68" i="12"/>
  <c r="E67" i="12"/>
  <c r="F67" i="12" s="1"/>
  <c r="E68" i="12"/>
  <c r="F68" i="12" s="1"/>
  <c r="F69" i="12"/>
  <c r="H67" i="12"/>
  <c r="I67" i="12" s="1"/>
  <c r="H68" i="12"/>
  <c r="I68" i="12" s="1"/>
  <c r="H69" i="12"/>
  <c r="I69" i="12" s="1"/>
  <c r="J67" i="12"/>
  <c r="J68" i="12"/>
  <c r="J69" i="12"/>
  <c r="M68" i="12"/>
  <c r="M69" i="12"/>
  <c r="C67" i="7"/>
  <c r="H7" i="12"/>
  <c r="I7" i="12" s="1"/>
  <c r="J8" i="12"/>
  <c r="K8" i="12" s="1"/>
  <c r="J9" i="12"/>
  <c r="K9" i="12" s="1"/>
  <c r="J11" i="12"/>
  <c r="K11" i="12" s="1"/>
  <c r="J12" i="12"/>
  <c r="J14" i="12"/>
  <c r="J15" i="12"/>
  <c r="J16" i="12"/>
  <c r="J17" i="12"/>
  <c r="J18" i="12"/>
  <c r="J19" i="12"/>
  <c r="K19" i="12" s="1"/>
  <c r="J20" i="12"/>
  <c r="J21" i="12"/>
  <c r="J22" i="12"/>
  <c r="J23" i="12"/>
  <c r="J24" i="12"/>
  <c r="J25" i="12"/>
  <c r="J26" i="12"/>
  <c r="K26" i="12" s="1"/>
  <c r="J27" i="12"/>
  <c r="J28" i="12"/>
  <c r="J29" i="12"/>
  <c r="J30" i="12"/>
  <c r="J31" i="12"/>
  <c r="J32" i="12"/>
  <c r="J33" i="12"/>
  <c r="J34" i="12"/>
  <c r="J35" i="12"/>
  <c r="J36" i="12"/>
  <c r="J37" i="12"/>
  <c r="J38" i="12"/>
  <c r="J39" i="12"/>
  <c r="J40" i="12"/>
  <c r="J41" i="12"/>
  <c r="J42" i="12"/>
  <c r="J43" i="12"/>
  <c r="J44" i="12"/>
  <c r="J45" i="12"/>
  <c r="J46" i="12"/>
  <c r="J47" i="12"/>
  <c r="J48" i="12"/>
  <c r="J49" i="12"/>
  <c r="J50" i="12"/>
  <c r="K50" i="12" s="1"/>
  <c r="J51" i="12"/>
  <c r="J52" i="12"/>
  <c r="J53" i="12"/>
  <c r="J54" i="12"/>
  <c r="J55" i="12"/>
  <c r="J56" i="12"/>
  <c r="J57" i="12"/>
  <c r="J59" i="12"/>
  <c r="J60" i="12"/>
  <c r="J61" i="12"/>
  <c r="J62" i="12"/>
  <c r="J63" i="12"/>
  <c r="J64" i="12"/>
  <c r="J65" i="12"/>
  <c r="J66" i="12"/>
  <c r="J7" i="12"/>
  <c r="K7" i="12" s="1"/>
  <c r="M12" i="12"/>
  <c r="M13" i="12"/>
  <c r="M14" i="12"/>
  <c r="M15" i="12"/>
  <c r="M17" i="12"/>
  <c r="M18" i="12"/>
  <c r="M24" i="12"/>
  <c r="M25" i="12"/>
  <c r="M27" i="12"/>
  <c r="M28" i="12"/>
  <c r="M32" i="12"/>
  <c r="M33" i="12"/>
  <c r="M34" i="12"/>
  <c r="M35" i="12"/>
  <c r="M36" i="12"/>
  <c r="M37" i="12"/>
  <c r="M38" i="12"/>
  <c r="M39" i="12"/>
  <c r="M40" i="12"/>
  <c r="M43" i="12"/>
  <c r="M44" i="12"/>
  <c r="M45" i="12"/>
  <c r="M46" i="12"/>
  <c r="M47" i="12"/>
  <c r="M48" i="12"/>
  <c r="M49" i="12"/>
  <c r="M50" i="12"/>
  <c r="M51" i="12"/>
  <c r="M52" i="12"/>
  <c r="M53" i="12"/>
  <c r="M54" i="12"/>
  <c r="M55" i="12"/>
  <c r="M56" i="12"/>
  <c r="M57" i="12"/>
  <c r="M58" i="12"/>
  <c r="M59" i="12"/>
  <c r="M60" i="12"/>
  <c r="M61" i="12"/>
  <c r="M62" i="12"/>
  <c r="M63" i="12"/>
  <c r="M65" i="12"/>
  <c r="M66" i="12"/>
  <c r="C7" i="12"/>
  <c r="H35" i="12"/>
  <c r="I35" i="12" s="1"/>
  <c r="B63" i="12"/>
  <c r="C63" i="12"/>
  <c r="D63" i="12"/>
  <c r="E63" i="12"/>
  <c r="F63" i="12" s="1"/>
  <c r="H63" i="12"/>
  <c r="I63" i="12" s="1"/>
  <c r="B64" i="12"/>
  <c r="C64" i="12"/>
  <c r="D64" i="12"/>
  <c r="E64" i="12"/>
  <c r="F64" i="12" s="1"/>
  <c r="H64" i="12"/>
  <c r="I64" i="12" s="1"/>
  <c r="B65" i="12"/>
  <c r="C65" i="12"/>
  <c r="D65" i="12"/>
  <c r="E65" i="12"/>
  <c r="F65" i="12" s="1"/>
  <c r="H65" i="12"/>
  <c r="I65" i="12" s="1"/>
  <c r="B66" i="12"/>
  <c r="C66" i="12"/>
  <c r="D66" i="12"/>
  <c r="E66" i="12"/>
  <c r="F66" i="12" s="1"/>
  <c r="H66" i="12"/>
  <c r="I66" i="12" s="1"/>
  <c r="C65" i="7"/>
  <c r="C64" i="7"/>
  <c r="B57" i="12"/>
  <c r="C57" i="12"/>
  <c r="D57" i="12"/>
  <c r="E57" i="12"/>
  <c r="F57" i="12" s="1"/>
  <c r="H57" i="12"/>
  <c r="I57" i="12" s="1"/>
  <c r="B58" i="12"/>
  <c r="C58" i="12"/>
  <c r="D58" i="12"/>
  <c r="E58" i="12"/>
  <c r="F58" i="12" s="1"/>
  <c r="B59" i="12"/>
  <c r="C59" i="12"/>
  <c r="D59" i="12"/>
  <c r="E59" i="12"/>
  <c r="F59" i="12" s="1"/>
  <c r="H59" i="12"/>
  <c r="I59" i="12" s="1"/>
  <c r="B60" i="12"/>
  <c r="C60" i="12"/>
  <c r="D60" i="12"/>
  <c r="E60" i="12"/>
  <c r="F60" i="12" s="1"/>
  <c r="H60" i="12"/>
  <c r="I60" i="12" s="1"/>
  <c r="B61" i="12"/>
  <c r="C61" i="12"/>
  <c r="D61" i="12"/>
  <c r="E61" i="12"/>
  <c r="F61" i="12" s="1"/>
  <c r="H61" i="12"/>
  <c r="I61" i="12" s="1"/>
  <c r="B62" i="12"/>
  <c r="C62" i="12"/>
  <c r="D62" i="12"/>
  <c r="E62" i="12"/>
  <c r="F62" i="12" s="1"/>
  <c r="H62" i="12"/>
  <c r="I62" i="12" s="1"/>
  <c r="B56" i="12"/>
  <c r="C56" i="12"/>
  <c r="D56" i="12"/>
  <c r="E56" i="12"/>
  <c r="F56" i="12" s="1"/>
  <c r="H56" i="12"/>
  <c r="I56" i="12" s="1"/>
  <c r="C28" i="12"/>
  <c r="D7" i="12"/>
  <c r="D8" i="12"/>
  <c r="D9" i="12"/>
  <c r="D10" i="12"/>
  <c r="D11" i="12"/>
  <c r="D12" i="12"/>
  <c r="D13" i="12"/>
  <c r="D14" i="12"/>
  <c r="D15" i="12"/>
  <c r="D16" i="12"/>
  <c r="D17" i="12"/>
  <c r="D18" i="12"/>
  <c r="D19" i="12"/>
  <c r="D20" i="12"/>
  <c r="D21" i="12"/>
  <c r="D22" i="12"/>
  <c r="D23" i="12"/>
  <c r="D24" i="12"/>
  <c r="D25" i="12"/>
  <c r="D26" i="12"/>
  <c r="D27" i="12"/>
  <c r="D28" i="12"/>
  <c r="D29" i="12"/>
  <c r="D30" i="12"/>
  <c r="D31" i="12"/>
  <c r="D32" i="12"/>
  <c r="D33" i="12"/>
  <c r="D34" i="12"/>
  <c r="D35" i="12"/>
  <c r="D36" i="12"/>
  <c r="D37" i="12"/>
  <c r="D38" i="12"/>
  <c r="D39" i="12"/>
  <c r="D40" i="12"/>
  <c r="D41" i="12"/>
  <c r="D42" i="12"/>
  <c r="D43" i="12"/>
  <c r="D44" i="12"/>
  <c r="D45" i="12"/>
  <c r="D46" i="12"/>
  <c r="D47" i="12"/>
  <c r="D48" i="12"/>
  <c r="D49" i="12"/>
  <c r="D50" i="12"/>
  <c r="D51" i="12"/>
  <c r="D52" i="12"/>
  <c r="D53" i="12"/>
  <c r="D54" i="12"/>
  <c r="D55" i="12"/>
  <c r="C58" i="7"/>
  <c r="C59" i="7"/>
  <c r="A13" i="12"/>
  <c r="B13" i="12"/>
  <c r="C13" i="12"/>
  <c r="E13" i="12"/>
  <c r="F13" i="12" s="1"/>
  <c r="H13" i="12"/>
  <c r="I13" i="12" s="1"/>
  <c r="A19" i="12"/>
  <c r="A41" i="12"/>
  <c r="A62" i="12"/>
  <c r="C23" i="12"/>
  <c r="C57" i="7"/>
  <c r="C56" i="7"/>
  <c r="C55" i="7"/>
  <c r="C54" i="7"/>
  <c r="C53" i="7"/>
  <c r="H55" i="12"/>
  <c r="I55" i="12" s="1"/>
  <c r="E55" i="12"/>
  <c r="F55" i="12" s="1"/>
  <c r="C55" i="12"/>
  <c r="B55" i="12"/>
  <c r="H54" i="12"/>
  <c r="I54" i="12" s="1"/>
  <c r="E54" i="12"/>
  <c r="F54" i="12" s="1"/>
  <c r="C54" i="12"/>
  <c r="B54" i="12"/>
  <c r="H53" i="12"/>
  <c r="I53" i="12" s="1"/>
  <c r="E53" i="12"/>
  <c r="F53" i="12" s="1"/>
  <c r="C53" i="12"/>
  <c r="B53" i="12"/>
  <c r="H52" i="12"/>
  <c r="I52" i="12" s="1"/>
  <c r="E52" i="12"/>
  <c r="F52" i="12" s="1"/>
  <c r="C52" i="12"/>
  <c r="B52" i="12"/>
  <c r="H51" i="12"/>
  <c r="I51" i="12" s="1"/>
  <c r="E51" i="12"/>
  <c r="F51" i="12" s="1"/>
  <c r="C51" i="12"/>
  <c r="B51" i="12"/>
  <c r="H50" i="12"/>
  <c r="I50" i="12" s="1"/>
  <c r="E50" i="12"/>
  <c r="F50" i="12" s="1"/>
  <c r="C50" i="12"/>
  <c r="B50" i="12"/>
  <c r="H49" i="12"/>
  <c r="I49" i="12" s="1"/>
  <c r="E49" i="12"/>
  <c r="F49" i="12" s="1"/>
  <c r="C49" i="12"/>
  <c r="B49" i="12"/>
  <c r="H48" i="12"/>
  <c r="I48" i="12" s="1"/>
  <c r="E48" i="12"/>
  <c r="F48" i="12" s="1"/>
  <c r="C48" i="12"/>
  <c r="B48" i="12"/>
  <c r="H47" i="12"/>
  <c r="I47" i="12" s="1"/>
  <c r="E47" i="12"/>
  <c r="F47" i="12" s="1"/>
  <c r="C47" i="12"/>
  <c r="B47" i="12"/>
  <c r="H46" i="12"/>
  <c r="I46" i="12" s="1"/>
  <c r="E46" i="12"/>
  <c r="F46" i="12" s="1"/>
  <c r="C46" i="12"/>
  <c r="B46" i="12"/>
  <c r="H45" i="12"/>
  <c r="I45" i="12" s="1"/>
  <c r="E45" i="12"/>
  <c r="F45" i="12" s="1"/>
  <c r="C45" i="12"/>
  <c r="B45" i="12"/>
  <c r="H44" i="12"/>
  <c r="I44" i="12" s="1"/>
  <c r="E44" i="12"/>
  <c r="F44" i="12" s="1"/>
  <c r="C44" i="12"/>
  <c r="B44" i="12"/>
  <c r="H43" i="12"/>
  <c r="I43" i="12" s="1"/>
  <c r="E43" i="12"/>
  <c r="F43" i="12" s="1"/>
  <c r="C43" i="12"/>
  <c r="B43" i="12"/>
  <c r="H42" i="12"/>
  <c r="I42" i="12" s="1"/>
  <c r="E42" i="12"/>
  <c r="F42" i="12" s="1"/>
  <c r="C42" i="12"/>
  <c r="B42" i="12"/>
  <c r="H41" i="12"/>
  <c r="I41" i="12" s="1"/>
  <c r="E41" i="12"/>
  <c r="F41" i="12" s="1"/>
  <c r="C41" i="12"/>
  <c r="B41" i="12"/>
  <c r="H40" i="12"/>
  <c r="I40" i="12" s="1"/>
  <c r="E40" i="12"/>
  <c r="F40" i="12" s="1"/>
  <c r="C40" i="12"/>
  <c r="B40" i="12"/>
  <c r="H39" i="12"/>
  <c r="I39" i="12" s="1"/>
  <c r="E39" i="12"/>
  <c r="F39" i="12" s="1"/>
  <c r="C39" i="12"/>
  <c r="B39" i="12"/>
  <c r="H38" i="12"/>
  <c r="I38" i="12" s="1"/>
  <c r="E38" i="12"/>
  <c r="F38" i="12" s="1"/>
  <c r="C38" i="12"/>
  <c r="B38" i="12"/>
  <c r="H37" i="12"/>
  <c r="I37" i="12" s="1"/>
  <c r="E37" i="12"/>
  <c r="F37" i="12" s="1"/>
  <c r="C37" i="12"/>
  <c r="B37" i="12"/>
  <c r="H36" i="12"/>
  <c r="I36" i="12" s="1"/>
  <c r="E36" i="12"/>
  <c r="F36" i="12" s="1"/>
  <c r="C36" i="12"/>
  <c r="B36" i="12"/>
  <c r="E35" i="12"/>
  <c r="F35" i="12" s="1"/>
  <c r="C35" i="12"/>
  <c r="B35" i="12"/>
  <c r="H34" i="12"/>
  <c r="I34" i="12" s="1"/>
  <c r="E34" i="12"/>
  <c r="F34" i="12" s="1"/>
  <c r="C34" i="12"/>
  <c r="B34" i="12"/>
  <c r="H33" i="12"/>
  <c r="I33" i="12" s="1"/>
  <c r="E33" i="12"/>
  <c r="F33" i="12" s="1"/>
  <c r="C33" i="12"/>
  <c r="B33" i="12"/>
  <c r="H32" i="12"/>
  <c r="I32" i="12" s="1"/>
  <c r="E32" i="12"/>
  <c r="F32" i="12" s="1"/>
  <c r="C32" i="12"/>
  <c r="B32" i="12"/>
  <c r="H31" i="12"/>
  <c r="I31" i="12" s="1"/>
  <c r="E31" i="12"/>
  <c r="F31" i="12" s="1"/>
  <c r="C31" i="12"/>
  <c r="B31" i="12"/>
  <c r="H30" i="12"/>
  <c r="I30" i="12" s="1"/>
  <c r="E30" i="12"/>
  <c r="F30" i="12" s="1"/>
  <c r="C30" i="12"/>
  <c r="B30" i="12"/>
  <c r="H29" i="12"/>
  <c r="I29" i="12" s="1"/>
  <c r="E29" i="12"/>
  <c r="F29" i="12" s="1"/>
  <c r="C29" i="12"/>
  <c r="B29" i="12"/>
  <c r="H28" i="12"/>
  <c r="I28" i="12" s="1"/>
  <c r="E28" i="12"/>
  <c r="F28" i="12" s="1"/>
  <c r="B28" i="12"/>
  <c r="H27" i="12"/>
  <c r="I27" i="12" s="1"/>
  <c r="E27" i="12"/>
  <c r="F27" i="12" s="1"/>
  <c r="C27" i="12"/>
  <c r="B27" i="12"/>
  <c r="H26" i="12"/>
  <c r="I26" i="12" s="1"/>
  <c r="E26" i="12"/>
  <c r="F26" i="12" s="1"/>
  <c r="C26" i="12"/>
  <c r="B26" i="12"/>
  <c r="H25" i="12"/>
  <c r="I25" i="12" s="1"/>
  <c r="E25" i="12"/>
  <c r="F25" i="12" s="1"/>
  <c r="C25" i="12"/>
  <c r="B25" i="12"/>
  <c r="H23" i="12"/>
  <c r="I23" i="12" s="1"/>
  <c r="E23" i="12"/>
  <c r="F23" i="12" s="1"/>
  <c r="B23" i="12"/>
  <c r="H22" i="12"/>
  <c r="I22" i="12" s="1"/>
  <c r="E22" i="12"/>
  <c r="F22" i="12" s="1"/>
  <c r="C22" i="12"/>
  <c r="B22" i="12"/>
  <c r="H21" i="12"/>
  <c r="I21" i="12" s="1"/>
  <c r="E21" i="12"/>
  <c r="F21" i="12" s="1"/>
  <c r="C21" i="12"/>
  <c r="B21" i="12"/>
  <c r="H20" i="12"/>
  <c r="I20" i="12" s="1"/>
  <c r="E20" i="12"/>
  <c r="F20" i="12" s="1"/>
  <c r="C20" i="12"/>
  <c r="B20" i="12"/>
  <c r="H19" i="12"/>
  <c r="I19" i="12" s="1"/>
  <c r="E19" i="12"/>
  <c r="F19" i="12" s="1"/>
  <c r="C19" i="12"/>
  <c r="B19" i="12"/>
  <c r="H17" i="12"/>
  <c r="I17" i="12" s="1"/>
  <c r="E17" i="12"/>
  <c r="F17" i="12" s="1"/>
  <c r="C17" i="12"/>
  <c r="B17" i="12"/>
  <c r="H16" i="12"/>
  <c r="I16" i="12" s="1"/>
  <c r="E16" i="12"/>
  <c r="F16" i="12" s="1"/>
  <c r="C16" i="12"/>
  <c r="B16" i="12"/>
  <c r="H15" i="12"/>
  <c r="I15" i="12" s="1"/>
  <c r="E15" i="12"/>
  <c r="F15" i="12" s="1"/>
  <c r="C15" i="12"/>
  <c r="H14" i="12"/>
  <c r="I14" i="12" s="1"/>
  <c r="E14" i="12"/>
  <c r="F14" i="12" s="1"/>
  <c r="C14" i="12"/>
  <c r="B14" i="12"/>
  <c r="H9" i="12"/>
  <c r="I9" i="12" s="1"/>
  <c r="E9" i="12"/>
  <c r="F9" i="12" s="1"/>
  <c r="C9" i="12"/>
  <c r="B9" i="12"/>
  <c r="A9" i="12"/>
  <c r="H8" i="12"/>
  <c r="I8" i="12" s="1"/>
  <c r="E8" i="12"/>
  <c r="F8" i="12" s="1"/>
  <c r="C8" i="12"/>
  <c r="B8" i="12"/>
  <c r="A8" i="12"/>
  <c r="C48" i="7"/>
  <c r="C49" i="7"/>
  <c r="C52" i="7"/>
  <c r="B18" i="12"/>
  <c r="C18" i="12"/>
  <c r="E18" i="12"/>
  <c r="F18" i="12" s="1"/>
  <c r="H18" i="12"/>
  <c r="I18" i="12" s="1"/>
  <c r="B24" i="12"/>
  <c r="C24" i="12"/>
  <c r="E24" i="12"/>
  <c r="F24" i="12" s="1"/>
  <c r="H24" i="12"/>
  <c r="I24" i="12" s="1"/>
  <c r="C12" i="12"/>
  <c r="B10" i="12"/>
  <c r="C10" i="12"/>
  <c r="C11" i="12"/>
  <c r="A10" i="12"/>
  <c r="E10" i="12"/>
  <c r="F10" i="12" s="1"/>
  <c r="H10" i="12"/>
  <c r="I10" i="12" s="1"/>
  <c r="A11" i="12"/>
  <c r="B11" i="12"/>
  <c r="E11" i="12"/>
  <c r="F11" i="12" s="1"/>
  <c r="H11" i="12"/>
  <c r="I11" i="12" s="1"/>
  <c r="A12" i="12"/>
  <c r="B12" i="12"/>
  <c r="E12" i="12"/>
  <c r="F12" i="12" s="1"/>
  <c r="E7" i="12"/>
  <c r="F7" i="12" s="1"/>
  <c r="B7" i="12"/>
  <c r="A7" i="12"/>
  <c r="C47" i="7"/>
  <c r="C46" i="7"/>
  <c r="C45" i="7"/>
  <c r="C44" i="7"/>
  <c r="C43" i="7"/>
  <c r="A42" i="7"/>
  <c r="A42" i="12" s="1"/>
  <c r="C42" i="7"/>
  <c r="C41" i="7"/>
  <c r="C38" i="7"/>
  <c r="C39" i="7"/>
  <c r="C40" i="7"/>
  <c r="C37" i="7"/>
  <c r="C36" i="7"/>
  <c r="C35" i="7"/>
  <c r="C34" i="7"/>
  <c r="C33" i="7"/>
  <c r="C32" i="7"/>
  <c r="C31" i="7"/>
  <c r="C30" i="7"/>
  <c r="C29" i="7"/>
  <c r="C28" i="7"/>
  <c r="F17" i="8"/>
  <c r="E17" i="8"/>
  <c r="D17" i="8"/>
  <c r="C33" i="8"/>
  <c r="C32" i="8"/>
  <c r="C31" i="8"/>
  <c r="C13" i="7"/>
  <c r="C7" i="7"/>
  <c r="C8" i="7"/>
  <c r="C9" i="7"/>
  <c r="C10" i="7"/>
  <c r="C11" i="7"/>
  <c r="C12" i="7"/>
  <c r="C14" i="7"/>
  <c r="C15" i="7"/>
  <c r="C16" i="7"/>
  <c r="C2" i="15" s="1"/>
  <c r="C17" i="7"/>
  <c r="C18" i="7"/>
  <c r="C19" i="7"/>
  <c r="C20" i="7"/>
  <c r="C21" i="7"/>
  <c r="C22" i="7"/>
  <c r="C23" i="7"/>
  <c r="C24" i="7"/>
  <c r="C26" i="7"/>
  <c r="C27" i="7"/>
  <c r="A14" i="7"/>
  <c r="A15" i="7" s="1"/>
  <c r="A20" i="7"/>
  <c r="A20" i="12" s="1"/>
  <c r="F10" i="8"/>
  <c r="F8" i="8"/>
  <c r="F9" i="8"/>
  <c r="F7" i="8"/>
  <c r="B22" i="5"/>
  <c r="B17" i="5"/>
  <c r="B16" i="5"/>
  <c r="B14" i="5"/>
  <c r="K34" i="2"/>
  <c r="K27" i="2"/>
  <c r="K28" i="2"/>
  <c r="J32" i="2"/>
  <c r="K32" i="2" s="1"/>
  <c r="J31" i="2"/>
  <c r="B3" i="5"/>
  <c r="B2" i="5"/>
  <c r="K22" i="2"/>
  <c r="A116" i="12" l="1"/>
  <c r="A108" i="12"/>
  <c r="A132" i="12"/>
  <c r="A92" i="12"/>
  <c r="E25" i="8"/>
  <c r="A43" i="7"/>
  <c r="A43" i="12" s="1"/>
  <c r="K24" i="12"/>
  <c r="N24" i="12" s="1"/>
  <c r="O24" i="12" s="1"/>
  <c r="A84" i="12"/>
  <c r="A76" i="12"/>
  <c r="A68" i="12"/>
  <c r="A140" i="12"/>
  <c r="E21" i="18"/>
  <c r="E21" i="8"/>
  <c r="K30" i="12"/>
  <c r="D22" i="8"/>
  <c r="A124" i="12"/>
  <c r="K71" i="12"/>
  <c r="N71" i="12" s="1"/>
  <c r="O71" i="12" s="1"/>
  <c r="N83" i="12"/>
  <c r="O83" i="12" s="1"/>
  <c r="A100" i="12"/>
  <c r="D21" i="8"/>
  <c r="A65" i="12"/>
  <c r="K14" i="12"/>
  <c r="N14" i="12" s="1"/>
  <c r="O14" i="12" s="1"/>
  <c r="B9" i="18"/>
  <c r="G9" i="18" s="1"/>
  <c r="D25" i="8"/>
  <c r="K66" i="12"/>
  <c r="N66" i="12" s="1"/>
  <c r="O66" i="12" s="1"/>
  <c r="K137" i="12"/>
  <c r="N137" i="12" s="1"/>
  <c r="O137" i="12" s="1"/>
  <c r="D21" i="18"/>
  <c r="E19" i="8"/>
  <c r="K29" i="12"/>
  <c r="F47" i="18"/>
  <c r="I8" i="18"/>
  <c r="H8" i="18"/>
  <c r="K33" i="12"/>
  <c r="N33" i="12" s="1"/>
  <c r="O33" i="12" s="1"/>
  <c r="K37" i="12"/>
  <c r="N37" i="12" s="1"/>
  <c r="O37" i="12" s="1"/>
  <c r="K27" i="12"/>
  <c r="N27" i="12" s="1"/>
  <c r="O27" i="12" s="1"/>
  <c r="K81" i="12"/>
  <c r="N81" i="12" s="1"/>
  <c r="O81" i="12" s="1"/>
  <c r="K126" i="12"/>
  <c r="N126" i="12" s="1"/>
  <c r="O126" i="12" s="1"/>
  <c r="G47" i="18"/>
  <c r="F8" i="18"/>
  <c r="E26" i="8"/>
  <c r="D9" i="15"/>
  <c r="R5" i="15" s="1"/>
  <c r="S5" i="15" s="1"/>
  <c r="T5" i="15" s="1"/>
  <c r="U5" i="15" s="1"/>
  <c r="H47" i="18"/>
  <c r="K68" i="12"/>
  <c r="N68" i="12" s="1"/>
  <c r="O68" i="12" s="1"/>
  <c r="K12" i="12"/>
  <c r="N12" i="12" s="1"/>
  <c r="O12" i="12" s="1"/>
  <c r="G8" i="18"/>
  <c r="F16" i="8"/>
  <c r="E22" i="8"/>
  <c r="E8" i="18"/>
  <c r="A499" i="7"/>
  <c r="A500" i="7" s="1"/>
  <c r="A501" i="7" s="1"/>
  <c r="K110" i="12"/>
  <c r="N110" i="12" s="1"/>
  <c r="O110" i="12" s="1"/>
  <c r="A138" i="12"/>
  <c r="A130" i="12"/>
  <c r="A122" i="12"/>
  <c r="A114" i="12"/>
  <c r="A106" i="12"/>
  <c r="A98" i="12"/>
  <c r="A90" i="12"/>
  <c r="A82" i="12"/>
  <c r="A74" i="12"/>
  <c r="F22" i="8"/>
  <c r="K18" i="12"/>
  <c r="N18" i="12" s="1"/>
  <c r="O18" i="12" s="1"/>
  <c r="K34" i="12"/>
  <c r="N34" i="12" s="1"/>
  <c r="O34" i="12" s="1"/>
  <c r="A141" i="12"/>
  <c r="A133" i="12"/>
  <c r="A125" i="12"/>
  <c r="A117" i="12"/>
  <c r="A109" i="12"/>
  <c r="A101" i="12"/>
  <c r="A93" i="12"/>
  <c r="A85" i="12"/>
  <c r="A77" i="12"/>
  <c r="A69" i="12"/>
  <c r="F19" i="8"/>
  <c r="A67" i="12"/>
  <c r="D16" i="8"/>
  <c r="A66" i="12"/>
  <c r="K25" i="12"/>
  <c r="N25" i="12" s="1"/>
  <c r="O25" i="12" s="1"/>
  <c r="K62" i="12"/>
  <c r="N62" i="12" s="1"/>
  <c r="O62" i="12" s="1"/>
  <c r="K99" i="12"/>
  <c r="K136" i="12"/>
  <c r="N136" i="12" s="1"/>
  <c r="O136" i="12" s="1"/>
  <c r="E47" i="18"/>
  <c r="H21" i="18"/>
  <c r="E60" i="18"/>
  <c r="K142" i="12"/>
  <c r="N142" i="12" s="1"/>
  <c r="O142" i="12" s="1"/>
  <c r="K119" i="12"/>
  <c r="N119" i="12" s="1"/>
  <c r="O119" i="12" s="1"/>
  <c r="K74" i="12"/>
  <c r="N74" i="12" s="1"/>
  <c r="O74" i="12" s="1"/>
  <c r="B22" i="18"/>
  <c r="A144" i="12"/>
  <c r="A136" i="12"/>
  <c r="A128" i="12"/>
  <c r="A120" i="12"/>
  <c r="A112" i="12"/>
  <c r="A104" i="12"/>
  <c r="A96" i="12"/>
  <c r="A88" i="12"/>
  <c r="A80" i="12"/>
  <c r="A72" i="12"/>
  <c r="F25" i="8"/>
  <c r="K21" i="12"/>
  <c r="K41" i="12"/>
  <c r="K43" i="12"/>
  <c r="N43" i="12" s="1"/>
  <c r="O43" i="12" s="1"/>
  <c r="K45" i="12"/>
  <c r="N45" i="12" s="1"/>
  <c r="O45" i="12" s="1"/>
  <c r="K49" i="12"/>
  <c r="N49" i="12" s="1"/>
  <c r="O49" i="12" s="1"/>
  <c r="K51" i="12"/>
  <c r="N51" i="12" s="1"/>
  <c r="O51" i="12" s="1"/>
  <c r="K53" i="12"/>
  <c r="N53" i="12" s="1"/>
  <c r="O53" i="12" s="1"/>
  <c r="K145" i="12"/>
  <c r="N145" i="12" s="1"/>
  <c r="O145" i="12" s="1"/>
  <c r="G21" i="18"/>
  <c r="K107" i="12"/>
  <c r="N107" i="12" s="1"/>
  <c r="O107" i="12" s="1"/>
  <c r="F21" i="8"/>
  <c r="A139" i="12"/>
  <c r="A131" i="12"/>
  <c r="A123" i="12"/>
  <c r="A115" i="12"/>
  <c r="A107" i="12"/>
  <c r="A99" i="12"/>
  <c r="A91" i="12"/>
  <c r="A83" i="12"/>
  <c r="A75" i="12"/>
  <c r="K109" i="12"/>
  <c r="N109" i="12" s="1"/>
  <c r="O109" i="12" s="1"/>
  <c r="A145" i="12"/>
  <c r="A137" i="12"/>
  <c r="A129" i="12"/>
  <c r="A121" i="12"/>
  <c r="A113" i="12"/>
  <c r="A105" i="12"/>
  <c r="A97" i="12"/>
  <c r="A89" i="12"/>
  <c r="A81" i="12"/>
  <c r="A73" i="12"/>
  <c r="A143" i="12"/>
  <c r="A135" i="12"/>
  <c r="A127" i="12"/>
  <c r="A119" i="12"/>
  <c r="A111" i="12"/>
  <c r="A103" i="12"/>
  <c r="A95" i="12"/>
  <c r="A87" i="12"/>
  <c r="A79" i="12"/>
  <c r="A71" i="12"/>
  <c r="A64" i="12"/>
  <c r="I47" i="18"/>
  <c r="A142" i="12"/>
  <c r="A134" i="12"/>
  <c r="A126" i="12"/>
  <c r="A118" i="12"/>
  <c r="A110" i="12"/>
  <c r="A102" i="12"/>
  <c r="A94" i="12"/>
  <c r="A86" i="12"/>
  <c r="A78" i="12"/>
  <c r="A70" i="12"/>
  <c r="K17" i="12"/>
  <c r="N17" i="12" s="1"/>
  <c r="O17" i="12" s="1"/>
  <c r="A63" i="12"/>
  <c r="K98" i="12"/>
  <c r="N98" i="12" s="1"/>
  <c r="O98" i="12" s="1"/>
  <c r="K82" i="12"/>
  <c r="N82" i="12" s="1"/>
  <c r="O82" i="12" s="1"/>
  <c r="K135" i="12"/>
  <c r="N135" i="12" s="1"/>
  <c r="O135" i="12" s="1"/>
  <c r="K124" i="12"/>
  <c r="N124" i="12" s="1"/>
  <c r="O124" i="12" s="1"/>
  <c r="B48" i="18"/>
  <c r="G48" i="18" s="1"/>
  <c r="I21" i="18"/>
  <c r="K117" i="12"/>
  <c r="N117" i="12" s="1"/>
  <c r="O117" i="12" s="1"/>
  <c r="C17" i="8"/>
  <c r="K96" i="12"/>
  <c r="N96" i="12" s="1"/>
  <c r="O96" i="12" s="1"/>
  <c r="K121" i="12"/>
  <c r="N121" i="12" s="1"/>
  <c r="O121" i="12" s="1"/>
  <c r="K141" i="12"/>
  <c r="N141" i="12" s="1"/>
  <c r="O141" i="12" s="1"/>
  <c r="K89" i="12"/>
  <c r="N89" i="12" s="1"/>
  <c r="O89" i="12" s="1"/>
  <c r="K61" i="12"/>
  <c r="N61" i="12" s="1"/>
  <c r="O61" i="12" s="1"/>
  <c r="D6" i="15"/>
  <c r="C7" i="15" s="1"/>
  <c r="F5" i="15" s="1"/>
  <c r="G5" i="15" s="1"/>
  <c r="H5" i="15" s="1"/>
  <c r="I5" i="15" s="1"/>
  <c r="J5" i="15" s="1"/>
  <c r="K76" i="12"/>
  <c r="N76" i="12" s="1"/>
  <c r="O76" i="12" s="1"/>
  <c r="D19" i="8"/>
  <c r="K54" i="12"/>
  <c r="N54" i="12" s="1"/>
  <c r="O54" i="12" s="1"/>
  <c r="K46" i="12"/>
  <c r="N46" i="12" s="1"/>
  <c r="O46" i="12" s="1"/>
  <c r="K22" i="12"/>
  <c r="K58" i="12"/>
  <c r="N58" i="12" s="1"/>
  <c r="O58" i="12" s="1"/>
  <c r="K103" i="12"/>
  <c r="N103" i="12" s="1"/>
  <c r="O103" i="12" s="1"/>
  <c r="K122" i="12"/>
  <c r="N122" i="12" s="1"/>
  <c r="O122" i="12" s="1"/>
  <c r="C9" i="8"/>
  <c r="K104" i="12"/>
  <c r="N104" i="12" s="1"/>
  <c r="O104" i="12" s="1"/>
  <c r="K123" i="12"/>
  <c r="N123" i="12" s="1"/>
  <c r="O123" i="12" s="1"/>
  <c r="K112" i="12"/>
  <c r="N112" i="12" s="1"/>
  <c r="O112" i="12" s="1"/>
  <c r="K111" i="12"/>
  <c r="N111" i="12" s="1"/>
  <c r="O111" i="12" s="1"/>
  <c r="K93" i="12"/>
  <c r="N93" i="12" s="1"/>
  <c r="O93" i="12" s="1"/>
  <c r="K90" i="12"/>
  <c r="N90" i="12" s="1"/>
  <c r="O90" i="12" s="1"/>
  <c r="K86" i="12"/>
  <c r="N86" i="12" s="1"/>
  <c r="O86" i="12" s="1"/>
  <c r="K85" i="12"/>
  <c r="N85" i="12" s="1"/>
  <c r="O85" i="12" s="1"/>
  <c r="I60" i="18"/>
  <c r="K20" i="12"/>
  <c r="K67" i="12"/>
  <c r="K125" i="12"/>
  <c r="N125" i="12" s="1"/>
  <c r="O125" i="12" s="1"/>
  <c r="K114" i="12"/>
  <c r="N114" i="12" s="1"/>
  <c r="O114" i="12" s="1"/>
  <c r="K113" i="12"/>
  <c r="N113" i="12" s="1"/>
  <c r="O113" i="12" s="1"/>
  <c r="C6" i="15"/>
  <c r="E5" i="15" s="1"/>
  <c r="F26" i="8"/>
  <c r="K116" i="12"/>
  <c r="N116" i="12" s="1"/>
  <c r="O116" i="12" s="1"/>
  <c r="K115" i="12"/>
  <c r="N115" i="12" s="1"/>
  <c r="O115" i="12" s="1"/>
  <c r="F60" i="18"/>
  <c r="K138" i="12"/>
  <c r="N138" i="12" s="1"/>
  <c r="O138" i="12" s="1"/>
  <c r="K129" i="12"/>
  <c r="N129" i="12" s="1"/>
  <c r="O129" i="12" s="1"/>
  <c r="E16" i="8"/>
  <c r="K77" i="12"/>
  <c r="N77" i="12" s="1"/>
  <c r="O77" i="12" s="1"/>
  <c r="D24" i="8"/>
  <c r="K42" i="12"/>
  <c r="K52" i="12"/>
  <c r="N52" i="12" s="1"/>
  <c r="O52" i="12" s="1"/>
  <c r="K57" i="12"/>
  <c r="N57" i="12" s="1"/>
  <c r="O57" i="12" s="1"/>
  <c r="K70" i="12"/>
  <c r="N70" i="12" s="1"/>
  <c r="O70" i="12" s="1"/>
  <c r="K97" i="12"/>
  <c r="N97" i="12" s="1"/>
  <c r="O97" i="12" s="1"/>
  <c r="E18" i="8"/>
  <c r="A21" i="7"/>
  <c r="K44" i="12"/>
  <c r="N44" i="12" s="1"/>
  <c r="O44" i="12" s="1"/>
  <c r="K100" i="12"/>
  <c r="K95" i="12"/>
  <c r="N95" i="12" s="1"/>
  <c r="O95" i="12" s="1"/>
  <c r="K92" i="12"/>
  <c r="N92" i="12" s="1"/>
  <c r="O92" i="12" s="1"/>
  <c r="K91" i="12"/>
  <c r="N91" i="12" s="1"/>
  <c r="O91" i="12" s="1"/>
  <c r="K88" i="12"/>
  <c r="N88" i="12" s="1"/>
  <c r="O88" i="12" s="1"/>
  <c r="K87" i="12"/>
  <c r="N87" i="12" s="1"/>
  <c r="O87" i="12" s="1"/>
  <c r="K144" i="12"/>
  <c r="N144" i="12" s="1"/>
  <c r="O144" i="12" s="1"/>
  <c r="K143" i="12"/>
  <c r="N143" i="12" s="1"/>
  <c r="O143" i="12" s="1"/>
  <c r="K118" i="12"/>
  <c r="N118" i="12" s="1"/>
  <c r="O118" i="12" s="1"/>
  <c r="F20" i="8"/>
  <c r="D18" i="8"/>
  <c r="K36" i="12"/>
  <c r="N36" i="12" s="1"/>
  <c r="O36" i="12" s="1"/>
  <c r="K63" i="12"/>
  <c r="N63" i="12" s="1"/>
  <c r="O63" i="12" s="1"/>
  <c r="N50" i="12"/>
  <c r="O50" i="12" s="1"/>
  <c r="K65" i="12"/>
  <c r="N65" i="12" s="1"/>
  <c r="O65" i="12" s="1"/>
  <c r="K48" i="12"/>
  <c r="N48" i="12" s="1"/>
  <c r="O48" i="12" s="1"/>
  <c r="K101" i="12"/>
  <c r="K140" i="12"/>
  <c r="N140" i="12" s="1"/>
  <c r="O140" i="12" s="1"/>
  <c r="K139" i="12"/>
  <c r="N139" i="12" s="1"/>
  <c r="O139" i="12" s="1"/>
  <c r="K120" i="12"/>
  <c r="N120" i="12" s="1"/>
  <c r="O120" i="12" s="1"/>
  <c r="K28" i="12"/>
  <c r="N28" i="12" s="1"/>
  <c r="O28" i="12" s="1"/>
  <c r="K38" i="12"/>
  <c r="N38" i="12" s="1"/>
  <c r="O38" i="12" s="1"/>
  <c r="K47" i="12"/>
  <c r="N47" i="12" s="1"/>
  <c r="O47" i="12" s="1"/>
  <c r="K39" i="12"/>
  <c r="N39" i="12" s="1"/>
  <c r="O39" i="12" s="1"/>
  <c r="K15" i="12"/>
  <c r="N15" i="12" s="1"/>
  <c r="O15" i="12" s="1"/>
  <c r="K108" i="12"/>
  <c r="N108" i="12" s="1"/>
  <c r="O108" i="12" s="1"/>
  <c r="K106" i="12"/>
  <c r="N106" i="12" s="1"/>
  <c r="O106" i="12" s="1"/>
  <c r="K105" i="12"/>
  <c r="N105" i="12" s="1"/>
  <c r="O105" i="12" s="1"/>
  <c r="K102" i="12"/>
  <c r="K134" i="12"/>
  <c r="N134" i="12" s="1"/>
  <c r="O134" i="12" s="1"/>
  <c r="K133" i="12"/>
  <c r="N133" i="12" s="1"/>
  <c r="O133" i="12" s="1"/>
  <c r="K131" i="12"/>
  <c r="N131" i="12" s="1"/>
  <c r="O131" i="12" s="1"/>
  <c r="K130" i="12"/>
  <c r="N130" i="12" s="1"/>
  <c r="O130" i="12" s="1"/>
  <c r="K128" i="12"/>
  <c r="N128" i="12" s="1"/>
  <c r="O128" i="12" s="1"/>
  <c r="K127" i="12"/>
  <c r="N127" i="12" s="1"/>
  <c r="O127" i="12" s="1"/>
  <c r="N84" i="12"/>
  <c r="O84" i="12" s="1"/>
  <c r="K13" i="12"/>
  <c r="N13" i="12" s="1"/>
  <c r="O13" i="12" s="1"/>
  <c r="K59" i="12"/>
  <c r="N59" i="12" s="1"/>
  <c r="O59" i="12" s="1"/>
  <c r="D26" i="8"/>
  <c r="K78" i="12"/>
  <c r="N78" i="12" s="1"/>
  <c r="O78" i="12" s="1"/>
  <c r="A15" i="12"/>
  <c r="A16" i="7"/>
  <c r="C11" i="8"/>
  <c r="F18" i="8"/>
  <c r="D7" i="15"/>
  <c r="K60" i="12"/>
  <c r="N60" i="12" s="1"/>
  <c r="O60" i="12" s="1"/>
  <c r="K35" i="12"/>
  <c r="N35" i="12" s="1"/>
  <c r="O35" i="12" s="1"/>
  <c r="K73" i="12"/>
  <c r="N73" i="12" s="1"/>
  <c r="O73" i="12" s="1"/>
  <c r="G34" i="18"/>
  <c r="F34" i="18"/>
  <c r="E34" i="18"/>
  <c r="I34" i="18"/>
  <c r="H34" i="18"/>
  <c r="D34" i="18"/>
  <c r="B35" i="18"/>
  <c r="C8" i="8"/>
  <c r="D20" i="8"/>
  <c r="E20" i="8"/>
  <c r="E24" i="8"/>
  <c r="N7" i="12"/>
  <c r="O7" i="12" s="1"/>
  <c r="K72" i="12"/>
  <c r="K75" i="12"/>
  <c r="N75" i="12" s="1"/>
  <c r="O75" i="12" s="1"/>
  <c r="K94" i="12"/>
  <c r="N94" i="12" s="1"/>
  <c r="O94" i="12" s="1"/>
  <c r="A14" i="12"/>
  <c r="E23" i="8"/>
  <c r="K56" i="12"/>
  <c r="N56" i="12" s="1"/>
  <c r="O56" i="12" s="1"/>
  <c r="K40" i="12"/>
  <c r="N40" i="12" s="1"/>
  <c r="O40" i="12" s="1"/>
  <c r="K32" i="12"/>
  <c r="N32" i="12" s="1"/>
  <c r="O32" i="12" s="1"/>
  <c r="K16" i="12"/>
  <c r="D8" i="15" s="1"/>
  <c r="K64" i="12"/>
  <c r="K55" i="12"/>
  <c r="N55" i="12" s="1"/>
  <c r="O55" i="12" s="1"/>
  <c r="K31" i="12"/>
  <c r="K23" i="12"/>
  <c r="K80" i="12"/>
  <c r="N80" i="12" s="1"/>
  <c r="O80" i="12" s="1"/>
  <c r="F24" i="8"/>
  <c r="C10" i="8"/>
  <c r="D23" i="8"/>
  <c r="F23" i="8"/>
  <c r="K79" i="12"/>
  <c r="N79" i="12" s="1"/>
  <c r="O79" i="12" s="1"/>
  <c r="C3" i="15"/>
  <c r="K69" i="12"/>
  <c r="N69" i="12" s="1"/>
  <c r="O69" i="12" s="1"/>
  <c r="K132" i="12"/>
  <c r="N132" i="12" s="1"/>
  <c r="O132" i="12" s="1"/>
  <c r="B61" i="18"/>
  <c r="D60" i="18"/>
  <c r="G60" i="18"/>
  <c r="A44" i="7" l="1"/>
  <c r="A44" i="12" s="1"/>
  <c r="A502" i="7"/>
  <c r="A503" i="7" s="1"/>
  <c r="A504" i="7" s="1"/>
  <c r="A505" i="7" s="1"/>
  <c r="A506" i="7" s="1"/>
  <c r="D9" i="18"/>
  <c r="C25" i="8"/>
  <c r="C21" i="8"/>
  <c r="B10" i="18"/>
  <c r="D10" i="18" s="1"/>
  <c r="C19" i="8"/>
  <c r="E9" i="18"/>
  <c r="I9" i="18"/>
  <c r="D48" i="18"/>
  <c r="C21" i="18"/>
  <c r="H9" i="18"/>
  <c r="F9" i="18"/>
  <c r="C24" i="8"/>
  <c r="C8" i="18"/>
  <c r="C22" i="8"/>
  <c r="C47" i="18"/>
  <c r="I48" i="18"/>
  <c r="E48" i="18"/>
  <c r="B49" i="18"/>
  <c r="H49" i="18" s="1"/>
  <c r="D22" i="18"/>
  <c r="I22" i="18"/>
  <c r="G22" i="18"/>
  <c r="E22" i="18"/>
  <c r="F22" i="18"/>
  <c r="B23" i="18"/>
  <c r="H22" i="18"/>
  <c r="C16" i="8"/>
  <c r="F48" i="18"/>
  <c r="H48" i="18"/>
  <c r="C26" i="8"/>
  <c r="C18" i="8"/>
  <c r="C23" i="8"/>
  <c r="A21" i="12"/>
  <c r="A22" i="7"/>
  <c r="C7" i="8"/>
  <c r="C20" i="8"/>
  <c r="C9" i="15"/>
  <c r="L5" i="15"/>
  <c r="M5" i="15" s="1"/>
  <c r="N5" i="15" s="1"/>
  <c r="O5" i="15" s="1"/>
  <c r="P5" i="15" s="1"/>
  <c r="Q5" i="15" s="1"/>
  <c r="H35" i="18"/>
  <c r="D35" i="18"/>
  <c r="E35" i="18"/>
  <c r="F35" i="18"/>
  <c r="G35" i="18"/>
  <c r="I35" i="18"/>
  <c r="B36" i="18"/>
  <c r="C60" i="18"/>
  <c r="C34" i="18"/>
  <c r="A16" i="12"/>
  <c r="A17" i="7"/>
  <c r="F61" i="18"/>
  <c r="H61" i="18"/>
  <c r="B62" i="18"/>
  <c r="I61" i="18"/>
  <c r="G61" i="18"/>
  <c r="E61" i="18"/>
  <c r="D61" i="18"/>
  <c r="C8" i="15"/>
  <c r="K5" i="15"/>
  <c r="A507" i="7" l="1"/>
  <c r="A45" i="7"/>
  <c r="A45" i="12" s="1"/>
  <c r="I10" i="18"/>
  <c r="F10" i="18"/>
  <c r="G10" i="18"/>
  <c r="B11" i="18"/>
  <c r="H11" i="18" s="1"/>
  <c r="H10" i="18"/>
  <c r="E10" i="18"/>
  <c r="C9" i="18"/>
  <c r="G49" i="18"/>
  <c r="C48" i="18"/>
  <c r="I49" i="18"/>
  <c r="D49" i="18"/>
  <c r="E11" i="18"/>
  <c r="C22" i="18"/>
  <c r="B50" i="18"/>
  <c r="F49" i="18"/>
  <c r="E49" i="18"/>
  <c r="D23" i="18"/>
  <c r="B24" i="18"/>
  <c r="F23" i="18"/>
  <c r="H23" i="18"/>
  <c r="G23" i="18"/>
  <c r="I23" i="18"/>
  <c r="E23" i="18"/>
  <c r="C61" i="18"/>
  <c r="A23" i="7"/>
  <c r="A22" i="12"/>
  <c r="G36" i="18"/>
  <c r="H36" i="18"/>
  <c r="B37" i="18"/>
  <c r="D36" i="18"/>
  <c r="E36" i="18"/>
  <c r="F36" i="18"/>
  <c r="I36" i="18"/>
  <c r="B63" i="18"/>
  <c r="H62" i="18"/>
  <c r="E62" i="18"/>
  <c r="G62" i="18"/>
  <c r="D62" i="18"/>
  <c r="I62" i="18"/>
  <c r="F62" i="18"/>
  <c r="A17" i="12"/>
  <c r="A18" i="7"/>
  <c r="A18" i="12" s="1"/>
  <c r="C35" i="18"/>
  <c r="G11" i="18" l="1"/>
  <c r="A508" i="7"/>
  <c r="A509" i="7" s="1"/>
  <c r="A510" i="7" s="1"/>
  <c r="A511" i="7" s="1"/>
  <c r="A512" i="7" s="1"/>
  <c r="F11" i="18"/>
  <c r="B12" i="18"/>
  <c r="F12" i="18" s="1"/>
  <c r="A46" i="7"/>
  <c r="A47" i="7" s="1"/>
  <c r="A47" i="12" s="1"/>
  <c r="I11" i="18"/>
  <c r="D11" i="18"/>
  <c r="C10" i="18"/>
  <c r="C49" i="18"/>
  <c r="C23" i="18"/>
  <c r="G24" i="18"/>
  <c r="I24" i="18"/>
  <c r="B25" i="18"/>
  <c r="F24" i="18"/>
  <c r="H24" i="18"/>
  <c r="E24" i="18"/>
  <c r="D24" i="18"/>
  <c r="I50" i="18"/>
  <c r="H50" i="18"/>
  <c r="B51" i="18"/>
  <c r="G50" i="18"/>
  <c r="E50" i="18"/>
  <c r="F50" i="18"/>
  <c r="D50" i="18"/>
  <c r="A23" i="12"/>
  <c r="A24" i="7"/>
  <c r="C62" i="18"/>
  <c r="C36" i="18"/>
  <c r="G63" i="18"/>
  <c r="I63" i="18"/>
  <c r="F63" i="18"/>
  <c r="B64" i="18"/>
  <c r="H63" i="18"/>
  <c r="E63" i="18"/>
  <c r="D63" i="18"/>
  <c r="G37" i="18"/>
  <c r="F37" i="18"/>
  <c r="E37" i="18"/>
  <c r="D37" i="18"/>
  <c r="B38" i="18"/>
  <c r="H37" i="18"/>
  <c r="I37" i="18"/>
  <c r="A513" i="7" l="1"/>
  <c r="A514" i="7" s="1"/>
  <c r="A515" i="7" s="1"/>
  <c r="A516" i="7" s="1"/>
  <c r="A517" i="7" s="1"/>
  <c r="A518" i="7" s="1"/>
  <c r="A519" i="7" s="1"/>
  <c r="A520" i="7" s="1"/>
  <c r="A521" i="7" s="1"/>
  <c r="A522" i="7" s="1"/>
  <c r="A523" i="7" s="1"/>
  <c r="A524" i="7" s="1"/>
  <c r="A525" i="7" s="1"/>
  <c r="A526" i="7" s="1"/>
  <c r="A527" i="7" s="1"/>
  <c r="A528" i="7" s="1"/>
  <c r="A529" i="7" s="1"/>
  <c r="A530" i="7" s="1"/>
  <c r="A531" i="7" s="1"/>
  <c r="A532" i="7" s="1"/>
  <c r="A533" i="7" s="1"/>
  <c r="A534" i="7" s="1"/>
  <c r="A535" i="7" s="1"/>
  <c r="A536" i="7" s="1"/>
  <c r="A537" i="7" s="1"/>
  <c r="A538" i="7" s="1"/>
  <c r="A539" i="7" s="1"/>
  <c r="A540" i="7" s="1"/>
  <c r="A541" i="7" s="1"/>
  <c r="A542" i="7" s="1"/>
  <c r="H12" i="18"/>
  <c r="I12" i="18"/>
  <c r="E12" i="18"/>
  <c r="D12" i="18"/>
  <c r="G12" i="18"/>
  <c r="A48" i="7"/>
  <c r="A48" i="12" s="1"/>
  <c r="A46" i="12"/>
  <c r="C11" i="18"/>
  <c r="I25" i="18"/>
  <c r="E25" i="18"/>
  <c r="F25" i="18"/>
  <c r="H25" i="18"/>
  <c r="G25" i="18"/>
  <c r="D25" i="18"/>
  <c r="C50" i="18"/>
  <c r="G51" i="18"/>
  <c r="I51" i="18"/>
  <c r="F51" i="18"/>
  <c r="H51" i="18"/>
  <c r="D51" i="18"/>
  <c r="E51" i="18"/>
  <c r="C24" i="18"/>
  <c r="A25" i="7"/>
  <c r="A24" i="12"/>
  <c r="C63" i="18"/>
  <c r="G38" i="18"/>
  <c r="H38" i="18"/>
  <c r="E38" i="18"/>
  <c r="F38" i="18"/>
  <c r="I38" i="18"/>
  <c r="D38" i="18"/>
  <c r="E64" i="18"/>
  <c r="F64" i="18"/>
  <c r="G64" i="18"/>
  <c r="D64" i="18"/>
  <c r="I64" i="18"/>
  <c r="H64" i="18"/>
  <c r="C37" i="18"/>
  <c r="C12" i="18" l="1"/>
  <c r="C6" i="18" s="1"/>
  <c r="A49" i="7"/>
  <c r="A50" i="7" s="1"/>
  <c r="C25" i="18"/>
  <c r="C19" i="18" s="1"/>
  <c r="C51" i="18"/>
  <c r="C45" i="18" s="1"/>
  <c r="A26" i="7"/>
  <c r="A25" i="12"/>
  <c r="C64" i="18"/>
  <c r="C58" i="18" s="1"/>
  <c r="C38" i="18"/>
  <c r="C32" i="18" s="1"/>
  <c r="A49" i="12" l="1"/>
  <c r="A26" i="12"/>
  <c r="A27" i="7"/>
  <c r="A50" i="12"/>
  <c r="A51" i="7"/>
  <c r="A28" i="7" l="1"/>
  <c r="A27" i="12"/>
  <c r="A51" i="12"/>
  <c r="A52" i="7"/>
  <c r="A28" i="12" l="1"/>
  <c r="A29" i="7"/>
  <c r="A53" i="7"/>
  <c r="A52" i="12"/>
  <c r="A30" i="7" l="1"/>
  <c r="A29" i="12"/>
  <c r="A53" i="12"/>
  <c r="A54" i="7"/>
  <c r="A30" i="12" l="1"/>
  <c r="A31" i="7"/>
  <c r="A55" i="7"/>
  <c r="A54" i="12"/>
  <c r="A32" i="7" l="1"/>
  <c r="A31" i="12"/>
  <c r="A56" i="7"/>
  <c r="A55" i="12"/>
  <c r="A33" i="7" l="1"/>
  <c r="A32" i="12"/>
  <c r="A56" i="12"/>
  <c r="A57" i="7"/>
  <c r="A34" i="7" l="1"/>
  <c r="A33" i="12"/>
  <c r="A57" i="12"/>
  <c r="A58" i="7"/>
  <c r="A35" i="7" l="1"/>
  <c r="A34" i="12"/>
  <c r="A58" i="12"/>
  <c r="A59" i="7"/>
  <c r="A35" i="12" l="1"/>
  <c r="A36" i="7"/>
  <c r="A59" i="12"/>
  <c r="A60" i="7"/>
  <c r="A36" i="12" l="1"/>
  <c r="A37" i="7"/>
  <c r="A60" i="12"/>
  <c r="A61" i="7"/>
  <c r="A61" i="12" s="1"/>
  <c r="A37" i="12" l="1"/>
  <c r="A38" i="7"/>
  <c r="A39" i="7" l="1"/>
  <c r="A38" i="12"/>
  <c r="A39" i="12" l="1"/>
  <c r="A40" i="7"/>
  <c r="A40" i="12" s="1"/>
  <c r="A101" i="21"/>
  <c r="A102" i="21" s="1"/>
  <c r="A103" i="21" l="1"/>
  <c r="A104" i="21" s="1"/>
  <c r="A105" i="21"/>
  <c r="A106" i="21" s="1"/>
  <c r="A107" i="21" s="1"/>
  <c r="A108" i="21" s="1"/>
  <c r="A109" i="21" s="1"/>
  <c r="A110" i="21" s="1"/>
  <c r="A111" i="21" s="1"/>
  <c r="A112" i="21" s="1"/>
  <c r="A113" i="21" s="1"/>
  <c r="A114" i="21" s="1"/>
  <c r="A115" i="21" s="1"/>
  <c r="A116" i="21" s="1"/>
  <c r="A117" i="21" s="1"/>
  <c r="A118" i="21" s="1"/>
  <c r="A119" i="21" s="1"/>
  <c r="A120" i="21" s="1"/>
  <c r="A121" i="21" s="1"/>
  <c r="A122" i="21" s="1"/>
  <c r="A123" i="21" s="1"/>
  <c r="A124" i="21" s="1"/>
  <c r="A125" i="21" s="1"/>
  <c r="A126" i="21" s="1"/>
  <c r="A127" i="21" s="1"/>
  <c r="A128" i="21" s="1"/>
  <c r="A129" i="21" s="1"/>
  <c r="A130" i="21" s="1"/>
  <c r="A131" i="21" s="1"/>
  <c r="A132" i="21" s="1"/>
  <c r="A133" i="21" s="1"/>
  <c r="A134" i="2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C28" authorId="0" shapeId="0" xr:uid="{53CFAE68-17BF-422E-8D58-F1C01AD16261}">
      <text>
        <r>
          <rPr>
            <b/>
            <sz val="9"/>
            <color indexed="81"/>
            <rFont val="Tahoma"/>
            <family val="2"/>
          </rPr>
          <t>user:</t>
        </r>
        <r>
          <rPr>
            <sz val="9"/>
            <color indexed="81"/>
            <rFont val="Tahoma"/>
            <family val="2"/>
          </rPr>
          <t xml:space="preserve">
FALTA CODIGO TRANSFORMADOR
</t>
        </r>
      </text>
    </comment>
  </commentList>
</comments>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1">
    <bk>
      <extLst>
        <ext uri="{3e2802c4-a4d2-4d8b-9148-e3be6c30e623}">
          <xlrd:rvb i="0"/>
        </ext>
      </extLst>
    </bk>
  </futureMetadata>
  <valueMetadata count="1">
    <bk>
      <rc t="1" v="0"/>
    </bk>
  </valueMetadata>
</metadata>
</file>

<file path=xl/sharedStrings.xml><?xml version="1.0" encoding="utf-8"?>
<sst xmlns="http://schemas.openxmlformats.org/spreadsheetml/2006/main" count="5747" uniqueCount="1453">
  <si>
    <t>Numero de pedido</t>
  </si>
  <si>
    <t>Proyecto</t>
  </si>
  <si>
    <t>Estado acutal</t>
  </si>
  <si>
    <t>Fecha Estado</t>
  </si>
  <si>
    <t>Estado proyectado</t>
  </si>
  <si>
    <t>Fecha de cambio proyectada</t>
  </si>
  <si>
    <t>Correo</t>
  </si>
  <si>
    <t>Estado</t>
  </si>
  <si>
    <t>Miguel Roldan Perez</t>
  </si>
  <si>
    <t>Visita técnica</t>
  </si>
  <si>
    <t>Solicitud de aclaraciones</t>
  </si>
  <si>
    <t>juan.castrillon@evolti.co</t>
  </si>
  <si>
    <t>Análisis</t>
  </si>
  <si>
    <t>Verificación técnica</t>
  </si>
  <si>
    <t>Aprobación/rechazo</t>
  </si>
  <si>
    <t>Fin</t>
  </si>
  <si>
    <t>No. Solicitud</t>
  </si>
  <si>
    <t>Fecha estado</t>
  </si>
  <si>
    <t>Club Colombia</t>
  </si>
  <si>
    <t>Hotel V1501 3</t>
  </si>
  <si>
    <t>Gran Avenida</t>
  </si>
  <si>
    <t>Congenar</t>
  </si>
  <si>
    <t>Platinum</t>
  </si>
  <si>
    <t>Radicado Inicial</t>
  </si>
  <si>
    <t>Estado actual</t>
  </si>
  <si>
    <t>Observaciones</t>
  </si>
  <si>
    <t>Tipo</t>
  </si>
  <si>
    <t>Valor enviado</t>
  </si>
  <si>
    <t xml:space="preserve">Valor aprobado </t>
  </si>
  <si>
    <t>Diferencia de valor no aprobado</t>
  </si>
  <si>
    <t>Enviado a Provedores</t>
  </si>
  <si>
    <t>Miguel Roldan Perez 4,4kWp</t>
  </si>
  <si>
    <t>Certificado/Rechazo</t>
  </si>
  <si>
    <t>EPC</t>
  </si>
  <si>
    <t>Puyo energía solar 115,54kWp</t>
  </si>
  <si>
    <t>Tige de la rebaja 69,76 kWp</t>
  </si>
  <si>
    <t>PPA</t>
  </si>
  <si>
    <t>Campos de Aragon 42,51 kWp</t>
  </si>
  <si>
    <t>Acuagen 19,62 kWp</t>
  </si>
  <si>
    <t>Hotel Cuellar 80,66 kWp</t>
  </si>
  <si>
    <t>Inversiones Pasto 17,44 kWp</t>
  </si>
  <si>
    <t xml:space="preserve">Cacharreria La Cali </t>
  </si>
  <si>
    <t>Nutrilacteos 33,79 kWp</t>
  </si>
  <si>
    <t>Surtisur 12,56 kWp</t>
  </si>
  <si>
    <t>Solsticio 5,99 kWp</t>
  </si>
  <si>
    <t>Fit For All 122 38,5kWp</t>
  </si>
  <si>
    <t>Fit For All 94 37,4 kWp</t>
  </si>
  <si>
    <t>Hotel V1501 Energía Solar 130,36 kWp</t>
  </si>
  <si>
    <t>Luis Fernando Caicedo 3,8 kWp</t>
  </si>
  <si>
    <t xml:space="preserve">Ernesto Ivan Cordoba Chamorro 3,8 kWp </t>
  </si>
  <si>
    <t>Dispropan Santa Marta 24,15 kWp</t>
  </si>
  <si>
    <t>Club Colombia Energía Solar 124,2 kWp</t>
  </si>
  <si>
    <t>31/8/2023</t>
  </si>
  <si>
    <t>Arboleda Energía Solar 15,26 kWp</t>
  </si>
  <si>
    <t>20231610120482</t>
  </si>
  <si>
    <t>Platinum Investments 32,2 kWp  + Consultorios V1501, (50 millones)</t>
  </si>
  <si>
    <t>25/09/2023</t>
  </si>
  <si>
    <t>Cinar Sistemas Energia Solar 13,22 kWp</t>
  </si>
  <si>
    <t>Gran Avenida Energía Solar 19,72 kWp</t>
  </si>
  <si>
    <t>Fundonar Energía Solar 26,91 kWp</t>
  </si>
  <si>
    <t>Clínica Pabón Energía Solar 96.6kWp</t>
  </si>
  <si>
    <t>Congenar Energía Solar 18.4 kWp</t>
  </si>
  <si>
    <t>MULTICARNES LUJOSA SAS 37.4 kWp</t>
  </si>
  <si>
    <t>Distribuidora de Vidrios Centro 5,85 kWp</t>
  </si>
  <si>
    <t>Distribuidora de Vidrios Centenario 4,68 kWp</t>
  </si>
  <si>
    <t>Tablero FV Hotel V1501 Energía Solar 130,36 kWp</t>
  </si>
  <si>
    <t>Humberto Portilla Energía Solar 2,92 kWp</t>
  </si>
  <si>
    <t>Alimentos Nariño MC SAS 22,4 kWp</t>
  </si>
  <si>
    <t>Hito Energía Solar 38.61 kWp</t>
  </si>
  <si>
    <t>Aclaraciones radicado inicial</t>
  </si>
  <si>
    <t>Certificado/Rechazado</t>
  </si>
  <si>
    <t>Se enviaron aclaraciones sobre reapertura de caso y queda radicado bajo el No. 20241610183482</t>
  </si>
  <si>
    <t>NAOS 1,38 MWp</t>
  </si>
  <si>
    <t>Solicitud modificación certificado</t>
  </si>
  <si>
    <t>Aclaraciones modificación certificado</t>
  </si>
  <si>
    <t xml:space="preserve"> Petición Modificación Certificado Fecha 30 de julio con Rad. No. 20241610171222</t>
  </si>
  <si>
    <t>Balcones de Pubenza</t>
  </si>
  <si>
    <t xml:space="preserve">Lacteos Andinos de Nariño Ltda </t>
  </si>
  <si>
    <t>Ferreandina</t>
  </si>
  <si>
    <t>OK</t>
  </si>
  <si>
    <t>Bellatriz</t>
  </si>
  <si>
    <t>Se envian aclaraciones bajo Rad. No.  20241610182192</t>
  </si>
  <si>
    <t>Batericars</t>
  </si>
  <si>
    <t>Vivarium</t>
  </si>
  <si>
    <t>Radicado inicial</t>
  </si>
  <si>
    <t>San Rafael</t>
  </si>
  <si>
    <t>Procede a evaluación</t>
  </si>
  <si>
    <t>Novacentro</t>
  </si>
  <si>
    <t>Caffeto</t>
  </si>
  <si>
    <t>Tianshi</t>
  </si>
  <si>
    <t>Casa Pabon</t>
  </si>
  <si>
    <t>NAOS 2 Energía Solar</t>
  </si>
  <si>
    <t>* Crear alerta de certifcación</t>
  </si>
  <si>
    <t>Recurso de reposición</t>
  </si>
  <si>
    <t>Desistido</t>
  </si>
  <si>
    <t>Precio Cotización + IVA</t>
  </si>
  <si>
    <t>Número de Oferta</t>
  </si>
  <si>
    <t>Aceptación oferta</t>
  </si>
  <si>
    <t>Pago</t>
  </si>
  <si>
    <t>Programación Visita Técnica</t>
  </si>
  <si>
    <t>Aclaraciones y/o</t>
  </si>
  <si>
    <t>Fecha dictamen / fin recibido</t>
  </si>
  <si>
    <t>Proveedor</t>
  </si>
  <si>
    <t>Alimentos Nariño MC</t>
  </si>
  <si>
    <t>0126-24</t>
  </si>
  <si>
    <t>Aceptada</t>
  </si>
  <si>
    <t>Aceptado</t>
  </si>
  <si>
    <t>Realizada</t>
  </si>
  <si>
    <t>Multicarnes</t>
  </si>
  <si>
    <t>0369-24</t>
  </si>
  <si>
    <t>Ok</t>
  </si>
  <si>
    <t>Sonarplas</t>
  </si>
  <si>
    <t>2526-23</t>
  </si>
  <si>
    <t>Hito</t>
  </si>
  <si>
    <t>0761-24</t>
  </si>
  <si>
    <t>Clinica Pabon</t>
  </si>
  <si>
    <t>0790-24</t>
  </si>
  <si>
    <t>0839-24</t>
  </si>
  <si>
    <t>1110-24</t>
  </si>
  <si>
    <t>Lacteos Andino</t>
  </si>
  <si>
    <t>1069-24</t>
  </si>
  <si>
    <t>Acueducto Pupiales</t>
  </si>
  <si>
    <t>1109-24</t>
  </si>
  <si>
    <t>1360-24</t>
  </si>
  <si>
    <t>Clinica Bellatriz</t>
  </si>
  <si>
    <t>1627-24</t>
  </si>
  <si>
    <t>1794-24</t>
  </si>
  <si>
    <t>IT Certifica</t>
  </si>
  <si>
    <t>1877-24</t>
  </si>
  <si>
    <t>1891-24</t>
  </si>
  <si>
    <t>957-24</t>
  </si>
  <si>
    <t>Novacentro ZC 1, ZC 3, ZC Oficinas</t>
  </si>
  <si>
    <t>1989A-24</t>
  </si>
  <si>
    <t>Novacentro Locales</t>
  </si>
  <si>
    <t>Variedades Carvajal</t>
  </si>
  <si>
    <t>Incubadora</t>
  </si>
  <si>
    <t>Ed. Santa Helena</t>
  </si>
  <si>
    <t xml:space="preserve">Casa Pabon </t>
  </si>
  <si>
    <t>2046-24</t>
  </si>
  <si>
    <t>?</t>
  </si>
  <si>
    <t>RESUMEN ESTADO SOLICITUDES DE CONEXIÓN</t>
  </si>
  <si>
    <t>Cantidad</t>
  </si>
  <si>
    <t>Solicitudes actuales</t>
  </si>
  <si>
    <t>Aprobado</t>
  </si>
  <si>
    <t>Espera de insumos</t>
  </si>
  <si>
    <t>Espera</t>
  </si>
  <si>
    <t>Estudio de conexión</t>
  </si>
  <si>
    <t>Rechazado</t>
  </si>
  <si>
    <t>Cancelado</t>
  </si>
  <si>
    <t>Evolti</t>
  </si>
  <si>
    <t>SOLICITUDES POR OPERADOR DE RED</t>
  </si>
  <si>
    <t>CEO</t>
  </si>
  <si>
    <t>EPM</t>
  </si>
  <si>
    <t>CEDENAR</t>
  </si>
  <si>
    <t>AIR-E</t>
  </si>
  <si>
    <t>AFINIA</t>
  </si>
  <si>
    <t>CELSIA</t>
  </si>
  <si>
    <t>ELECTROHUILA</t>
  </si>
  <si>
    <t>ENEL</t>
  </si>
  <si>
    <t>EBSA</t>
  </si>
  <si>
    <t>EMSA</t>
  </si>
  <si>
    <t>ESSA</t>
  </si>
  <si>
    <t>RESUMEN ESTUDIOS DE CONEXIÓN</t>
  </si>
  <si>
    <t>EMPRESA</t>
  </si>
  <si>
    <t>CANTIDAD</t>
  </si>
  <si>
    <t>PHC</t>
  </si>
  <si>
    <t>CINERGY</t>
  </si>
  <si>
    <t>FLUX</t>
  </si>
  <si>
    <t>INFORME MENSUAL SOLICITUDES  DE CONEXIÓN</t>
  </si>
  <si>
    <t>MAYO</t>
  </si>
  <si>
    <t>Fabián Florez</t>
  </si>
  <si>
    <t>Carlos Cabrera</t>
  </si>
  <si>
    <t>Julián Gomez</t>
  </si>
  <si>
    <t>Daniela Timarán</t>
  </si>
  <si>
    <t>Moisés Ruiz</t>
  </si>
  <si>
    <t>José Rodriguez</t>
  </si>
  <si>
    <t>INFORME SEMANAL SOLICITUDES  DE CONEXIÓN</t>
  </si>
  <si>
    <t>Semana</t>
  </si>
  <si>
    <t>Del</t>
  </si>
  <si>
    <t>Al</t>
  </si>
  <si>
    <t>Día</t>
  </si>
  <si>
    <t>REGISTRO SOLICITUDES DE CONEXIÓN</t>
  </si>
  <si>
    <t>Verificación completitud</t>
  </si>
  <si>
    <t>Verificación técnica OR</t>
  </si>
  <si>
    <t>Item</t>
  </si>
  <si>
    <t>Etapa</t>
  </si>
  <si>
    <t>OR</t>
  </si>
  <si>
    <t>Subestacion</t>
  </si>
  <si>
    <t>Circuito</t>
  </si>
  <si>
    <t>Cliente</t>
  </si>
  <si>
    <t>NIT</t>
  </si>
  <si>
    <t>Fecha inicio</t>
  </si>
  <si>
    <t>Código solicitud</t>
  </si>
  <si>
    <t>Código confirmación</t>
  </si>
  <si>
    <t>Fecha entrega insumos OR</t>
  </si>
  <si>
    <t>Insumos revisados</t>
  </si>
  <si>
    <t>Fecha solicitud estudio</t>
  </si>
  <si>
    <t>Elabora estudio</t>
  </si>
  <si>
    <t>Fecha elaboración estudio</t>
  </si>
  <si>
    <t>Proyectos adicionales ?</t>
  </si>
  <si>
    <t>Cargue estudio al OR</t>
  </si>
  <si>
    <t>Aprobado OR</t>
  </si>
  <si>
    <t>Fecha respuesta final OR</t>
  </si>
  <si>
    <t>Vigencia</t>
  </si>
  <si>
    <t>Comentario</t>
  </si>
  <si>
    <t>Naos 1</t>
  </si>
  <si>
    <t>Remolino 13.8</t>
  </si>
  <si>
    <t>GD EL REMOLINO SAS ESP</t>
  </si>
  <si>
    <t>fernando.paniagua@evolti.co</t>
  </si>
  <si>
    <t>98143</t>
  </si>
  <si>
    <t>Sí</t>
  </si>
  <si>
    <t>Naos 2</t>
  </si>
  <si>
    <t xml:space="preserve">DG REMOLINO 1 SAS </t>
  </si>
  <si>
    <t>Proroga solicitada el 10-12-24</t>
  </si>
  <si>
    <t>Naos 3</t>
  </si>
  <si>
    <t>GD EL REMOLINO 1 S.A.S. E.S.P.</t>
  </si>
  <si>
    <t>jeison.ipiales@evolti.co</t>
  </si>
  <si>
    <t>200196</t>
  </si>
  <si>
    <t>Cancelado Polaris 1</t>
  </si>
  <si>
    <t>POLARIS</t>
  </si>
  <si>
    <t>Cambio estudio, de 960 a 990</t>
  </si>
  <si>
    <t>Cancelado Delta 1</t>
  </si>
  <si>
    <t>GRANJA SOLAR CANOPUS 2 S.A.S. E.S.P.</t>
  </si>
  <si>
    <t>gerencia@evolti.co</t>
  </si>
  <si>
    <t>0244114</t>
  </si>
  <si>
    <t>Se envío el estudio por correo a jrlucero@cedenar.com.co</t>
  </si>
  <si>
    <t>Cancelado Polaris 2</t>
  </si>
  <si>
    <t>Evolti Company</t>
  </si>
  <si>
    <t>2464 </t>
  </si>
  <si>
    <t>No</t>
  </si>
  <si>
    <t>Solicitud quedó con error en el formulario. Se cancela y se vuelve a realizar corregida.</t>
  </si>
  <si>
    <t>ATL005-Campeche</t>
  </si>
  <si>
    <t>EstructuracionGD@evolti.co</t>
  </si>
  <si>
    <t>Campeche 2, 3 y 4 viables</t>
  </si>
  <si>
    <t>ATL002-Campo de la cruz</t>
  </si>
  <si>
    <t>Campo 2, 3 y 4 viables</t>
  </si>
  <si>
    <t>CES006 - Villa Emma (Mary)</t>
  </si>
  <si>
    <t>Nebula 2 y Nebula 3</t>
  </si>
  <si>
    <t>Existen 5 GD 1&lt;MW en estudio en el circuito, igual que 1 GD&gt;5MW</t>
  </si>
  <si>
    <t>Polaris 3</t>
  </si>
  <si>
    <t>GRANJA SOLARIS POLARIS 3 SAS</t>
  </si>
  <si>
    <t>0254140</t>
  </si>
  <si>
    <t>VAL002 - Andalucia</t>
  </si>
  <si>
    <t>Se envío solicitud por correo electrónico</t>
  </si>
  <si>
    <t>Cancelado CAU008-Bonanza</t>
  </si>
  <si>
    <t>Descartado por topografía</t>
  </si>
  <si>
    <t>Delta 1</t>
  </si>
  <si>
    <t>Granjas Solares Delta SAS ESP</t>
  </si>
  <si>
    <t>Delta 2</t>
  </si>
  <si>
    <t>Polaris 1</t>
  </si>
  <si>
    <t>GRANJA SOLAR POLARIS SAS E.S.P</t>
  </si>
  <si>
    <t>Polaris 2 y 3</t>
  </si>
  <si>
    <t>Polaris 2</t>
  </si>
  <si>
    <t>GRANJA SOLAR POLARIS 2 SAS</t>
  </si>
  <si>
    <t>901862384-1</t>
  </si>
  <si>
    <t>CES008 - Buena vista</t>
  </si>
  <si>
    <t>Buena vista 2 y 3 sí, Buena vista 4 evaluar</t>
  </si>
  <si>
    <t>Cancelado CES004 - Villa Clara</t>
  </si>
  <si>
    <t>Villa Clara 1 bien
Villa Clara 2 no va
Contingencia por cargabilidad en otros circuitos.</t>
  </si>
  <si>
    <t>Cancelado CES010 - Villa Karina</t>
  </si>
  <si>
    <t>Descartado porque propietaria no quiso vender</t>
  </si>
  <si>
    <t>Cancelado CAU037 - Topacio</t>
  </si>
  <si>
    <t>MERCADERES</t>
  </si>
  <si>
    <t>circuito 25-102 "Mercaderes"</t>
  </si>
  <si>
    <t>Solicitud hecha en pagina CEO, no llegó número de confirmación</t>
  </si>
  <si>
    <t>CAU028 - Villa Cristina</t>
  </si>
  <si>
    <t xml:space="preserve">Se hace una nueva solicitud el 24/10/2024 por correo </t>
  </si>
  <si>
    <t>EstructuracionGD2@evolti.co</t>
  </si>
  <si>
    <t>1286176</t>
  </si>
  <si>
    <t>Cancelado GUAJ001 - Ramal 1</t>
  </si>
  <si>
    <t>CAU006 - Limoncito</t>
  </si>
  <si>
    <t>Limoncito 2 sí; limoncito 3 cambiar CT; limoncito 4 depende de otros circuitos</t>
  </si>
  <si>
    <t>Se envio solicitud por correo</t>
  </si>
  <si>
    <t>CES006 - Nebula 2</t>
  </si>
  <si>
    <t>Nebula 3</t>
  </si>
  <si>
    <t>CES006 - Nebula 3</t>
  </si>
  <si>
    <t>0</t>
  </si>
  <si>
    <t>Cancelado ATL005-Campeche 2</t>
  </si>
  <si>
    <t>Se envío solicitud por correo electrónico. Devolvieron diciendo que hacerla por la página. La página no deja GD&gt;100kW</t>
  </si>
  <si>
    <t>Cancelado ATL005-Campeche 3</t>
  </si>
  <si>
    <t>Cancelado ATL005-Campeche 4</t>
  </si>
  <si>
    <t>RIS002 - La virginia</t>
  </si>
  <si>
    <t>CHEC</t>
  </si>
  <si>
    <t>Cancelado ATL002 - Tinajitas 2</t>
  </si>
  <si>
    <t>Se envío solicitud por pagina</t>
  </si>
  <si>
    <t>Cancelado ATL002 - Tinajitas 3</t>
  </si>
  <si>
    <t>Se envío solicitud por correo</t>
  </si>
  <si>
    <t>ATL012 - El Pelu 1</t>
  </si>
  <si>
    <t>ATL012 - El Pelu 2</t>
  </si>
  <si>
    <t>ATL012 - El Pelu 3</t>
  </si>
  <si>
    <t>CES008_Buena Vista 2</t>
  </si>
  <si>
    <t>P31102024110021</t>
  </si>
  <si>
    <t>1</t>
  </si>
  <si>
    <t>CES008_Buena Vista 3</t>
  </si>
  <si>
    <t>P31102024110022</t>
  </si>
  <si>
    <t>NAR023_Conchita</t>
  </si>
  <si>
    <t xml:space="preserve"> NAR015_VillaSantaAnita</t>
  </si>
  <si>
    <t>Cancelado CES006_NEBULA 4</t>
  </si>
  <si>
    <t>Se hizo devolucion de la solicitud</t>
  </si>
  <si>
    <t>Cancelado CES006_NEBULA 5</t>
  </si>
  <si>
    <t>VAL004_ElTrebol</t>
  </si>
  <si>
    <t>Val003 - Sevilla</t>
  </si>
  <si>
    <t>CAU006 - Limoncito 2</t>
  </si>
  <si>
    <t>GD LA MALENA 1 SAS ESP</t>
  </si>
  <si>
    <t>Cancelado CAU028_VillaCristina 2</t>
  </si>
  <si>
    <t xml:space="preserve">Estudio de conexión </t>
  </si>
  <si>
    <t>ORBIS GENERACION SAS ESP</t>
  </si>
  <si>
    <t>9739209</t>
  </si>
  <si>
    <t>CAU037_ElTopacio</t>
  </si>
  <si>
    <t>NAR015_Villa Santa Anita 2</t>
  </si>
  <si>
    <t>CES006_NEBULA 4</t>
  </si>
  <si>
    <t>P31102024110069</t>
  </si>
  <si>
    <t>CES006_NEBULA 5</t>
  </si>
  <si>
    <t>P31102024110070</t>
  </si>
  <si>
    <t>ATL002 - Tinajitas 2</t>
  </si>
  <si>
    <t>ATL002 - Tinajitas 3</t>
  </si>
  <si>
    <t>ATL002 - Tinajitas 4</t>
  </si>
  <si>
    <t>ATL005-Campeche 2</t>
  </si>
  <si>
    <t>SABANALARGA</t>
  </si>
  <si>
    <t>CIRCUITO  SG-02</t>
  </si>
  <si>
    <t>ATL005-Campeche 3</t>
  </si>
  <si>
    <t>ATL005-Campeche 4</t>
  </si>
  <si>
    <t xml:space="preserve">Estudio de Conexión </t>
  </si>
  <si>
    <t>Cancelado CAU040_El Porvenir</t>
  </si>
  <si>
    <t>BORDO</t>
  </si>
  <si>
    <t>Circuito 21-101 "Bordo"</t>
  </si>
  <si>
    <t>Cancelado CAU044_ElPrado</t>
  </si>
  <si>
    <t>Circuito 21-104 "Piedra Sentada"</t>
  </si>
  <si>
    <t>CES011_Palermo</t>
  </si>
  <si>
    <t>CES013_LaFrancia</t>
  </si>
  <si>
    <t>MANDINGUILLA</t>
  </si>
  <si>
    <t>CIRCUITO CHIMICHAGUA</t>
  </si>
  <si>
    <t xml:space="preserve">Es posible conectar solamente un proyecto mas, pues en el mismo punto hay en cola 3 proyectos de otro promotor  </t>
  </si>
  <si>
    <t>GUJ005_Gran Chaparral</t>
  </si>
  <si>
    <t>SAN JUAN</t>
  </si>
  <si>
    <t>CIRCUITO SAN JUAN 2 (Tramo: 21682062)</t>
  </si>
  <si>
    <t>MAG005_ La Providencia</t>
  </si>
  <si>
    <t>RETEN</t>
  </si>
  <si>
    <t>CIRCUITO RETEN I (Tramo: 11086910)</t>
  </si>
  <si>
    <t xml:space="preserve"> GUAJ001-Ramal 1</t>
  </si>
  <si>
    <t>VILLANUEVA</t>
  </si>
  <si>
    <t>CIRCUITO URUMITA (Tramo: 11075872)</t>
  </si>
  <si>
    <t>la red tiene suficiente capacidad para soportar el proyecto sin problemas, Sin embargo, si se desea conectar un segundo o tercer proyecto, podríamos tener dificultades, ya que habrían problemas de sobre tensiones en la red.</t>
  </si>
  <si>
    <t>SAN005_La Guacamaya</t>
  </si>
  <si>
    <t>Sabana de Torres</t>
  </si>
  <si>
    <t>Circuito 57503</t>
  </si>
  <si>
    <t>SAN006_El Bolsillo</t>
  </si>
  <si>
    <t>NAR028_ La Casa del Sol</t>
  </si>
  <si>
    <t>CAU028_VillaCristina 2</t>
  </si>
  <si>
    <t>CAU044_ElPrado</t>
  </si>
  <si>
    <t xml:space="preserve">Podemos conectar 1 o 2 proyectos mas, sin problemas 
 </t>
  </si>
  <si>
    <t>El dia 13 de diciembre el OR solicita que le envie por correo los documentos que se cargaron el dia 12 de diciembre por su portal web</t>
  </si>
  <si>
    <t>CAU040_El Porvenir</t>
  </si>
  <si>
    <t>TOL003_ San Rafael (Flandes)</t>
  </si>
  <si>
    <t>ATL002_Tinajitas 5</t>
  </si>
  <si>
    <t>CAMPO DE LA CRUZ</t>
  </si>
  <si>
    <t>CIRCUITO CAMPO DE LA CRUZ 3</t>
  </si>
  <si>
    <t>ATL005 - Campeche 5</t>
  </si>
  <si>
    <t>VAL005_Hacienda Formosa</t>
  </si>
  <si>
    <t>EPP</t>
  </si>
  <si>
    <t>SANTA MARIA</t>
  </si>
  <si>
    <t>Circuito SM02</t>
  </si>
  <si>
    <t>NAR028_ La Casa del Sol 2</t>
  </si>
  <si>
    <t>GUJ003_La Esperanza</t>
  </si>
  <si>
    <t>CIRCUITO SAN JUAN 2</t>
  </si>
  <si>
    <t>ATL012_ElPelu</t>
  </si>
  <si>
    <t>CIRCUITO CANDELARIA (Tramo: 11876301)</t>
  </si>
  <si>
    <t>VAL006_El Socorro</t>
  </si>
  <si>
    <t>SANTA BARBARA</t>
  </si>
  <si>
    <t>BUS-15438E</t>
  </si>
  <si>
    <t>NAR031_Chachagui1</t>
  </si>
  <si>
    <t>CHACHAGUI</t>
  </si>
  <si>
    <t>41PA01</t>
  </si>
  <si>
    <t>NAR031_Chachagui-2</t>
  </si>
  <si>
    <t>CES017_Panorama</t>
  </si>
  <si>
    <t>SAN ROQUE</t>
  </si>
  <si>
    <t>SAN SEBASTIAN RURAL (Tramo: 
11019924)</t>
  </si>
  <si>
    <t>CAU039_El Carmelo</t>
  </si>
  <si>
    <t xml:space="preserve"> ATL012 - El pelu 2</t>
  </si>
  <si>
    <t xml:space="preserve"> ATL012 - El pelu 3</t>
  </si>
  <si>
    <t>VAL007_San Antonio</t>
  </si>
  <si>
    <t>SAN005_La Guacamaya - 2</t>
  </si>
  <si>
    <t xml:space="preserve">Cuenta: 1794381 </t>
  </si>
  <si>
    <t xml:space="preserve">Número de Cuenta (NIU): 0 </t>
  </si>
  <si>
    <t>SAN005_La Guacamaya - 3</t>
  </si>
  <si>
    <t xml:space="preserve">Cuenta: 1794382 </t>
  </si>
  <si>
    <t>CES013_LaFrancia 2</t>
  </si>
  <si>
    <t>CES013_LaFrancia 3</t>
  </si>
  <si>
    <t>CES013_LaFrancia 4</t>
  </si>
  <si>
    <t>GUAJ001-Ramal 2</t>
  </si>
  <si>
    <t>SUBESTACION VILLANUEVA</t>
  </si>
  <si>
    <t>GUAJ001-Ramal 3</t>
  </si>
  <si>
    <t>NAR014_Sandona</t>
  </si>
  <si>
    <t>NAR014_Sandona 2</t>
  </si>
  <si>
    <t>CAU053_La Barranca_1</t>
  </si>
  <si>
    <t xml:space="preserve">Según el estudio de conexión, es posible conectar hasta 3 proyectos mas </t>
  </si>
  <si>
    <t>CAU053_La Barranca_2</t>
  </si>
  <si>
    <t>CAU053_La Barranca_3</t>
  </si>
  <si>
    <t>CAU053_La Barranca_4</t>
  </si>
  <si>
    <t>CAU037 - El Topacio 2</t>
  </si>
  <si>
    <t>CAU037 - El Topacio 3</t>
  </si>
  <si>
    <t>CAU040_El Porvenir - 2</t>
  </si>
  <si>
    <t>CAU040_El Porvenir - 3</t>
  </si>
  <si>
    <t>CAU040_El Porvenir - 4</t>
  </si>
  <si>
    <t>GUJ006_Los Deseos_1</t>
  </si>
  <si>
    <t>CIRCUITO SAN JUAN 2 (Tramo: 11017730)</t>
  </si>
  <si>
    <t>GUJ006_Los Deseos_2</t>
  </si>
  <si>
    <t>GUJ006_Los Deseos_3</t>
  </si>
  <si>
    <t>GUJ005_Gran Chaparral_2</t>
  </si>
  <si>
    <t>GUJ005_Gran Chaparral_3</t>
  </si>
  <si>
    <t>GUJ003_La Esperanza_1</t>
  </si>
  <si>
    <t>CIRCUITO SAN JUAN 2 (Tramo: 21688028)</t>
  </si>
  <si>
    <t>GUJ003_La Esperanza_2</t>
  </si>
  <si>
    <t>GUJ003_La Esperanza_3</t>
  </si>
  <si>
    <t>VAL006_El Socorro_2</t>
  </si>
  <si>
    <t>VAL006_El Socorro_3</t>
  </si>
  <si>
    <t>CES016_La Carolina_1</t>
  </si>
  <si>
    <t xml:space="preserve">AFINIA da de baja las solicitudes, porque "hacen falta documentos" los cuales la CREG 174 de 2021 no exige enviar en esta etapa del proceso. Por lo que se vulve a hacer la solicitud y se responde el correo indicando lo aclarado en la resolución </t>
  </si>
  <si>
    <t>CES016_La Carolina_2</t>
  </si>
  <si>
    <t>CES016_La Carolina_3</t>
  </si>
  <si>
    <t>CES017_Panorama_2</t>
  </si>
  <si>
    <t>CES017_Panorama_3</t>
  </si>
  <si>
    <t>CAU044_ElPrado_2</t>
  </si>
  <si>
    <t>CAU044_ElPrado_3</t>
  </si>
  <si>
    <t>CAU039_El Carmelo_2</t>
  </si>
  <si>
    <t>CAU039_El Carmelo_3</t>
  </si>
  <si>
    <t>SAN010_Andrade_1</t>
  </si>
  <si>
    <t xml:space="preserve">Cuenta: 1794321 </t>
  </si>
  <si>
    <t>SAN010_Andrade_2</t>
  </si>
  <si>
    <t xml:space="preserve">Cuenta: 1794322 </t>
  </si>
  <si>
    <t>SAN010_Andrade_3</t>
  </si>
  <si>
    <t>Cuenta: 1794323</t>
  </si>
  <si>
    <t>BOY002_Tincita_1</t>
  </si>
  <si>
    <t>Patriotas</t>
  </si>
  <si>
    <t>21548528</t>
  </si>
  <si>
    <t>BOY002_Tincita_2</t>
  </si>
  <si>
    <t>BOY002_Tincita_3</t>
  </si>
  <si>
    <t>21548781</t>
  </si>
  <si>
    <t>CAU046_El Carmen_1</t>
  </si>
  <si>
    <t>CAU046_El Carmen_2</t>
  </si>
  <si>
    <t>CAU046_El Carmen_3</t>
  </si>
  <si>
    <t>CAU046_El Carmen_4</t>
  </si>
  <si>
    <t xml:space="preserve"> CES013_LaFrancia 2</t>
  </si>
  <si>
    <t xml:space="preserve"> CES013_LaFrancia 3</t>
  </si>
  <si>
    <t xml:space="preserve"> CES013_LaFrancia 4</t>
  </si>
  <si>
    <t>CES019_Las Mercedes 1</t>
  </si>
  <si>
    <t>CES019_Las Mercedes 2</t>
  </si>
  <si>
    <t>CES019_Las Mercedes 3</t>
  </si>
  <si>
    <t>CAU057_ElCardo 1</t>
  </si>
  <si>
    <t>CAU057_ElCardo 2</t>
  </si>
  <si>
    <t>CAU057_ElCardo 3</t>
  </si>
  <si>
    <t>ATL020_MediaLuna 1</t>
  </si>
  <si>
    <t>Juan de Acosta</t>
  </si>
  <si>
    <t>30/04/2025</t>
  </si>
  <si>
    <t>Según el documento emitido por el Operador de Red, ya existen dos proyectos de 990 kW aprobados en ese mismo tramo. Además, el documento indica que la subestación tendría una capacidad de 6 MVA.</t>
  </si>
  <si>
    <t>ATL020_MediaLuna 2</t>
  </si>
  <si>
    <t>06/05/2025</t>
  </si>
  <si>
    <t>ATL020_MediaLuna 3</t>
  </si>
  <si>
    <t>CAU059_Predio El Estrecho 1</t>
  </si>
  <si>
    <t>CAU059_Predio El Estrecho 2</t>
  </si>
  <si>
    <t>CAU059_Predio El Estrecho 3</t>
  </si>
  <si>
    <t>CAU062_Beer-Sebas_1</t>
  </si>
  <si>
    <t xml:space="preserve">Se hace solicitud por correo, ya que la pagina web esta caida </t>
  </si>
  <si>
    <t>CAU062_Beer-Sebas_2</t>
  </si>
  <si>
    <t>CAU062_Beer-Sebas_3</t>
  </si>
  <si>
    <t>CAU064_Lt_El Estrecho_1</t>
  </si>
  <si>
    <t>CAU064_Lt_El Estrecho_2</t>
  </si>
  <si>
    <t>CAU064_Lt_El Estrecho_3</t>
  </si>
  <si>
    <t>ATL023_Los Ciruelos_1</t>
  </si>
  <si>
    <t>ATL023_Los Ciruelos_2</t>
  </si>
  <si>
    <t>ATL023_Los Ciruelos_3</t>
  </si>
  <si>
    <t>NAR027_Algodonal_1</t>
  </si>
  <si>
    <t>NAR027_Algodonal_2</t>
  </si>
  <si>
    <t>NAR027_Algodonal_3</t>
  </si>
  <si>
    <t>moises.ruiz@evolti.co</t>
  </si>
  <si>
    <t>7396329</t>
  </si>
  <si>
    <t>NAR033_Comun_Energ</t>
  </si>
  <si>
    <t>SAN016_El Cobijo_1</t>
  </si>
  <si>
    <t xml:space="preserve">Charala </t>
  </si>
  <si>
    <t>86 503</t>
  </si>
  <si>
    <t>SAN016_El Cobijo_2</t>
  </si>
  <si>
    <t xml:space="preserve">1798129 </t>
  </si>
  <si>
    <t>SAN016_El Cobijo_3</t>
  </si>
  <si>
    <t>SAN001_Las Cabañas_1</t>
  </si>
  <si>
    <t xml:space="preserve">1798130 </t>
  </si>
  <si>
    <t>SAN001_Las Cabañas_2</t>
  </si>
  <si>
    <t xml:space="preserve">1798132 </t>
  </si>
  <si>
    <t>SAN001_Las Cabañas_3</t>
  </si>
  <si>
    <t xml:space="preserve">1798133 </t>
  </si>
  <si>
    <t>SAN012_La Fortuna_1</t>
  </si>
  <si>
    <t>1798135</t>
  </si>
  <si>
    <t>SAN012_La Fortuna_2</t>
  </si>
  <si>
    <t xml:space="preserve">1798141 </t>
  </si>
  <si>
    <t>SAN012_La Fortuna_3</t>
  </si>
  <si>
    <t xml:space="preserve">1798144 </t>
  </si>
  <si>
    <t>VAL010_La Fanfarrona_1</t>
  </si>
  <si>
    <t>VAL010_La Fanfarrona_2</t>
  </si>
  <si>
    <t>VAL010_La Fanfarrona_3</t>
  </si>
  <si>
    <t>CAU059_Predio-Estrecho_1</t>
  </si>
  <si>
    <t>CAU059_Predio-Estrecho_2</t>
  </si>
  <si>
    <t>CAU059_Predio-Estrecho_3</t>
  </si>
  <si>
    <t>CAU057_El Cardo_1</t>
  </si>
  <si>
    <t xml:space="preserve">Se cancela la solicitud, ya que las redes electricas cercanas van hacia la subestación Mercaderes, la cual no acepta mas proyectos </t>
  </si>
  <si>
    <t>CAU057_El Cardo_2</t>
  </si>
  <si>
    <t>CAU057_El Cardo_3</t>
  </si>
  <si>
    <t>CAU055_El Recreo_1</t>
  </si>
  <si>
    <t>CAU055_El Recreo_2</t>
  </si>
  <si>
    <t>CAU055_El Recreo_3</t>
  </si>
  <si>
    <t>MET002_La Primavera_1</t>
  </si>
  <si>
    <t>9580390</t>
  </si>
  <si>
    <t>MET002_La Primavera_2</t>
  </si>
  <si>
    <t>2580418</t>
  </si>
  <si>
    <t>MET002_La Primavera_3</t>
  </si>
  <si>
    <t>3580573</t>
  </si>
  <si>
    <t>BOY003_El Recuerdo_1</t>
  </si>
  <si>
    <t>Higueras</t>
  </si>
  <si>
    <t>BOY003_El Recuerdo_2</t>
  </si>
  <si>
    <t>BOY003_El Recuerdo_3</t>
  </si>
  <si>
    <t>31559967</t>
  </si>
  <si>
    <t>SAN021_Predio6_1</t>
  </si>
  <si>
    <t>CONUCO</t>
  </si>
  <si>
    <t>Circuito: 10509</t>
  </si>
  <si>
    <t xml:space="preserve">1799106 </t>
  </si>
  <si>
    <t>SAN021_Predio6_2</t>
  </si>
  <si>
    <t>SAN021_Predio6_3</t>
  </si>
  <si>
    <t>1799108</t>
  </si>
  <si>
    <t>MET004_La Ilusión_1</t>
  </si>
  <si>
    <t>MET004_La Ilusión_2</t>
  </si>
  <si>
    <t>MET004_La Ilusión_3</t>
  </si>
  <si>
    <t>daniela.timaran@evolti.co</t>
  </si>
  <si>
    <t>7590324</t>
  </si>
  <si>
    <t>NAR045_Salinas_1</t>
  </si>
  <si>
    <t>San Lorenzo</t>
  </si>
  <si>
    <t>53SL01</t>
  </si>
  <si>
    <t>SI</t>
  </si>
  <si>
    <t>NAR045_Salinas_2</t>
  </si>
  <si>
    <t>NAR045_Salinas_3</t>
  </si>
  <si>
    <t>julian.gomez@evolti.co</t>
  </si>
  <si>
    <t>6419493</t>
  </si>
  <si>
    <t>NAR035_EDS Canobajo_1</t>
  </si>
  <si>
    <t>Chachagüí</t>
  </si>
  <si>
    <t>15CH01</t>
  </si>
  <si>
    <t>Si</t>
  </si>
  <si>
    <t>NAR035_EDS Canobajo_2</t>
  </si>
  <si>
    <t>NAR035_EDS Canobajo_3</t>
  </si>
  <si>
    <t>0418801</t>
  </si>
  <si>
    <t>NO HAY CAPACIDAD PARA DICHO PROYECTO EN LA S/E Chachagüí</t>
  </si>
  <si>
    <t>NAR040_1</t>
  </si>
  <si>
    <t>Taminango</t>
  </si>
  <si>
    <t>58TA01</t>
  </si>
  <si>
    <t>NAR040_2</t>
  </si>
  <si>
    <t>NAR040_3</t>
  </si>
  <si>
    <t>NO HAY CAPACIDAD PARA DICHO PROYECTO EN LA S/E Taminango</t>
  </si>
  <si>
    <t>NAR041_Granada_1</t>
  </si>
  <si>
    <t>NAR041_Granada_2</t>
  </si>
  <si>
    <t>NAR041_Granada_3</t>
  </si>
  <si>
    <t>NAR042_La Unión_1</t>
  </si>
  <si>
    <t>NAR042_La Unión_2</t>
  </si>
  <si>
    <t>NAR042_La Unión_3</t>
  </si>
  <si>
    <t>NAR043_Los Olivos_1</t>
  </si>
  <si>
    <t>NAR043_Los Olivos_2</t>
  </si>
  <si>
    <t>NAR043_Los Olivos_3</t>
  </si>
  <si>
    <t>NAR037_1</t>
  </si>
  <si>
    <t>NAR037_2</t>
  </si>
  <si>
    <t>NO HAY CAPACIDAD PARA DICHO PROYECTO EN LA S/E San Lorenzo</t>
  </si>
  <si>
    <t>NAR037_3</t>
  </si>
  <si>
    <t>SAN022_Resplandor_1</t>
  </si>
  <si>
    <t xml:space="preserve">1799686 </t>
  </si>
  <si>
    <t>SAN022_Resplandor_2</t>
  </si>
  <si>
    <t>SAN022_Resplandor_3</t>
  </si>
  <si>
    <t>1800159</t>
  </si>
  <si>
    <t>CUN003_Suesca_1</t>
  </si>
  <si>
    <t>CUN003_Suesca_2</t>
  </si>
  <si>
    <t>CUN003_Suesca_3</t>
  </si>
  <si>
    <t>BOY001_La Palma_1</t>
  </si>
  <si>
    <t>S/E Guacamayas</t>
  </si>
  <si>
    <t>BOY001_La Palma_2</t>
  </si>
  <si>
    <t>BOY001_La Palma_3</t>
  </si>
  <si>
    <t>81561350</t>
  </si>
  <si>
    <t>CUN002_Chikua_1</t>
  </si>
  <si>
    <t>CUN002_Chikua_2</t>
  </si>
  <si>
    <t>CUN002_Chikua_3</t>
  </si>
  <si>
    <t>BOL007_San Estanislao_1</t>
  </si>
  <si>
    <t>BAYUNCA 13,2 kV</t>
  </si>
  <si>
    <t>BAYUNCA 1</t>
  </si>
  <si>
    <t>BOL007_San Estanislao_2</t>
  </si>
  <si>
    <t>BOL007_San Estanislao_3</t>
  </si>
  <si>
    <t>COR001_ El Papayo_1</t>
  </si>
  <si>
    <t>COR001_ El Papayo_2</t>
  </si>
  <si>
    <t>COR001_ El Papayo_3</t>
  </si>
  <si>
    <t>ATL022_San Vicente_1</t>
  </si>
  <si>
    <t>ATL022_San Vicente_2</t>
  </si>
  <si>
    <t>ATL022_San Vicente_3</t>
  </si>
  <si>
    <t>CES021_Predio 1_1</t>
  </si>
  <si>
    <t>CES021_Predio 1_2</t>
  </si>
  <si>
    <t>CES021_Predio 1_3</t>
  </si>
  <si>
    <t>CAU072_Haciendas_1</t>
  </si>
  <si>
    <t>CAU072_Haciendas_2</t>
  </si>
  <si>
    <t>CAU072_Haciendas_3</t>
  </si>
  <si>
    <t>SAN028_La Cantera_1</t>
  </si>
  <si>
    <t>1800732</t>
  </si>
  <si>
    <t>SAN028_La Cantera_2</t>
  </si>
  <si>
    <t xml:space="preserve">1800733 </t>
  </si>
  <si>
    <t>SAN028_La Cantera_3</t>
  </si>
  <si>
    <t xml:space="preserve">1800735 </t>
  </si>
  <si>
    <t>BOL006_La Integración_1</t>
  </si>
  <si>
    <t>Predio descartado no se revisan los insumos.</t>
  </si>
  <si>
    <t>BOL006_La Integración_2</t>
  </si>
  <si>
    <t>BOL006_La Integración_3</t>
  </si>
  <si>
    <t>NAR034_Anuc San Ramón_1</t>
  </si>
  <si>
    <t>CUMBAL</t>
  </si>
  <si>
    <t>13CU02</t>
  </si>
  <si>
    <t>NAR034_Anuc San Ramón_2</t>
  </si>
  <si>
    <t>NAR034_Anuc San Ramón_3</t>
  </si>
  <si>
    <t>CES020_Bethania_1</t>
  </si>
  <si>
    <t>CES020_Bethania_2</t>
  </si>
  <si>
    <t>CES020_Bethania_3</t>
  </si>
  <si>
    <t>CES023_Guayacan_1</t>
  </si>
  <si>
    <t>CES023_Guayacan_2</t>
  </si>
  <si>
    <t>CES023_Guayacan_3</t>
  </si>
  <si>
    <t>CUN001_La Primavera</t>
  </si>
  <si>
    <t>El Hobal 34.5 kV</t>
  </si>
  <si>
    <t>EL_HOBAL-13-NILO--HB21D</t>
  </si>
  <si>
    <t>CAU074_Predio 1 Ladrillera_1</t>
  </si>
  <si>
    <t>Santander</t>
  </si>
  <si>
    <t>13-202</t>
  </si>
  <si>
    <t>CAU074_Predio 1 Ladrillera_2</t>
  </si>
  <si>
    <t>CAU074_Predio 1 Ladrillera_3</t>
  </si>
  <si>
    <t>CAU089_Cartón Colombia_1</t>
  </si>
  <si>
    <t>CAU089_Cartón Colombia_2</t>
  </si>
  <si>
    <t>CAU089_Cartón Colombia_3</t>
  </si>
  <si>
    <t>CAU080_Predio 7 Los Guabos_1</t>
  </si>
  <si>
    <t>13-205</t>
  </si>
  <si>
    <t>CAU080_Predio 7 Los Guabos_2</t>
  </si>
  <si>
    <t>CAU080_Predio 7 Los Guabos_3</t>
  </si>
  <si>
    <t>CAU073_El Resplandor_1</t>
  </si>
  <si>
    <t>SE Japio</t>
  </si>
  <si>
    <t>20-106</t>
  </si>
  <si>
    <t>CAU073_El Resplandor_2</t>
  </si>
  <si>
    <t>CAU073_El Resplandor_3</t>
  </si>
  <si>
    <t>CAU081_Predio 8 Villa Martha_1</t>
  </si>
  <si>
    <t>CAU081_Predio 8 Villa Martha_2</t>
  </si>
  <si>
    <t>CAU081_Predio 8 Villa Martha_3</t>
  </si>
  <si>
    <t>COR003_San Carlos 2_1</t>
  </si>
  <si>
    <t>COR003_San Carlos 2_2</t>
  </si>
  <si>
    <t>COR003_San Carlos 2_3</t>
  </si>
  <si>
    <t>COR002_San Carlos 1_1</t>
  </si>
  <si>
    <t>COR002_San Carlos 1_2</t>
  </si>
  <si>
    <t>COR002_San Carlos 1_3</t>
  </si>
  <si>
    <t>NAR051_Parcela 28_1</t>
  </si>
  <si>
    <t>NAR051_Parcela 28_2</t>
  </si>
  <si>
    <t>NAR051_Parcela 28_3</t>
  </si>
  <si>
    <t>NAR049_Predio Don José_1</t>
  </si>
  <si>
    <t>NARIÑO 13.8 kV</t>
  </si>
  <si>
    <t>41NA01</t>
  </si>
  <si>
    <t>NAR049_Predio Don José_2</t>
  </si>
  <si>
    <t>NAR049_Predio Don José_3</t>
  </si>
  <si>
    <t>NAR050_Olivos_1</t>
  </si>
  <si>
    <t>TAMINANGO</t>
  </si>
  <si>
    <t>No los envian</t>
  </si>
  <si>
    <t>NAR050_Olivos_2</t>
  </si>
  <si>
    <t>NAR050_Olivos_3</t>
  </si>
  <si>
    <t>carlos.cabrera@evolti.co</t>
  </si>
  <si>
    <t>418801</t>
  </si>
  <si>
    <t>CUN004_Alytamira_1</t>
  </si>
  <si>
    <t>CUN004_Alytamira_2</t>
  </si>
  <si>
    <t>CUN004_Alytamira_3</t>
  </si>
  <si>
    <t>CAU076_Predio 3_1</t>
  </si>
  <si>
    <t>CAU076_Predio 3_2</t>
  </si>
  <si>
    <t>CAU076_Predio 3_3</t>
  </si>
  <si>
    <t>CAU082_Predio 9 Finca Nacho_1</t>
  </si>
  <si>
    <t>fabian.florez@evolti.co</t>
  </si>
  <si>
    <t>CAU082_Predio 9 Finca Nacho_2</t>
  </si>
  <si>
    <t>CAU082_Predio 9 Finca Nacho_3</t>
  </si>
  <si>
    <t>CAU044_El Prado_4</t>
  </si>
  <si>
    <t>NAR047_VEGAS_1</t>
  </si>
  <si>
    <t>NAR047_VEGAS_2</t>
  </si>
  <si>
    <t>NAR047_VEGAS_3</t>
  </si>
  <si>
    <t>CAU077_Predio 4_1</t>
  </si>
  <si>
    <t xml:space="preserve">CAU077_Predio 4_2 </t>
  </si>
  <si>
    <t>CAU077_Predio 4_3</t>
  </si>
  <si>
    <t xml:space="preserve">SAN MARTIN </t>
  </si>
  <si>
    <t>56-503</t>
  </si>
  <si>
    <t>1800737</t>
  </si>
  <si>
    <t>1800741</t>
  </si>
  <si>
    <t>SAN031_Punteral_1</t>
  </si>
  <si>
    <t>1801375</t>
  </si>
  <si>
    <t>SAN031_Punteral_2</t>
  </si>
  <si>
    <t>1801380</t>
  </si>
  <si>
    <t>SAN031_Punteral_3</t>
  </si>
  <si>
    <t>SAN027_Sabana_1</t>
  </si>
  <si>
    <t>Sangil</t>
  </si>
  <si>
    <t>SAN027_Sabana_2</t>
  </si>
  <si>
    <t>SAN027_Sabana_3</t>
  </si>
  <si>
    <t>SAN025_Buenos Aires_1</t>
  </si>
  <si>
    <t>SAN025_Buenos Aires_2</t>
  </si>
  <si>
    <t>SAN025_Buenos Aires_3</t>
  </si>
  <si>
    <t>SAN024_El Hongo_1</t>
  </si>
  <si>
    <t>SAN024_El Hongo_2</t>
  </si>
  <si>
    <t>SAN024_El Hongo_3</t>
  </si>
  <si>
    <t>COR004_Santa Clara_1</t>
  </si>
  <si>
    <t>MET005_Upia_1</t>
  </si>
  <si>
    <t>ENERCA</t>
  </si>
  <si>
    <t>MET005_Upia_2</t>
  </si>
  <si>
    <t>MET005_Upia_3</t>
  </si>
  <si>
    <t>SAN033_Grima Alta_1</t>
  </si>
  <si>
    <t>1801621</t>
  </si>
  <si>
    <t>SAN033_Grima Alta_2</t>
  </si>
  <si>
    <t>1801623</t>
  </si>
  <si>
    <t>SAN033_Grima Alta_3</t>
  </si>
  <si>
    <t>1801624</t>
  </si>
  <si>
    <t>CAU094_Loma Grande_1</t>
  </si>
  <si>
    <t>Rosas</t>
  </si>
  <si>
    <t>38-101</t>
  </si>
  <si>
    <t>CAU094_Loma Grande_2</t>
  </si>
  <si>
    <t>CAU094_Loma Grande_3</t>
  </si>
  <si>
    <t>SAN032_La Esperanza_1</t>
  </si>
  <si>
    <t>64461551 - 1801744</t>
  </si>
  <si>
    <t>SAN032_La Esperanza_2</t>
  </si>
  <si>
    <t>64461589 - 1801746</t>
  </si>
  <si>
    <t>SAN032_La Esperanza_3</t>
  </si>
  <si>
    <t>64461647 - 1801749</t>
  </si>
  <si>
    <t>BOY005_Eucalipto_1</t>
  </si>
  <si>
    <t>Río de Piedras</t>
  </si>
  <si>
    <t>BOY005_Eucalipto_2</t>
  </si>
  <si>
    <t>BOY005_Eucalipto_3</t>
  </si>
  <si>
    <t>71567169</t>
  </si>
  <si>
    <t>BOY012_Celestino_1</t>
  </si>
  <si>
    <t>Donato</t>
  </si>
  <si>
    <t>BOY012_Celestino_2</t>
  </si>
  <si>
    <t>BOY012_Celestino_3</t>
  </si>
  <si>
    <t>MET006_El Guachimaron_1</t>
  </si>
  <si>
    <t>2474314</t>
  </si>
  <si>
    <t>MET006_El Guachimaron_2</t>
  </si>
  <si>
    <t xml:space="preserve"> 2474579</t>
  </si>
  <si>
    <t>MET006_El Guachimaron_3</t>
  </si>
  <si>
    <t>1474413</t>
  </si>
  <si>
    <t>CUN005_Nazareth_1</t>
  </si>
  <si>
    <t>CUN005_Nazareth_2</t>
  </si>
  <si>
    <t>795663197</t>
  </si>
  <si>
    <t>CUN005_Nazareth_3</t>
  </si>
  <si>
    <t>MET007_1</t>
  </si>
  <si>
    <t>MET007_2</t>
  </si>
  <si>
    <t>MET007_3</t>
  </si>
  <si>
    <t>BOY013_Cuta_1</t>
  </si>
  <si>
    <t>BOY013_Cuta_2</t>
  </si>
  <si>
    <t>BOY013_Cuta_3</t>
  </si>
  <si>
    <t>CES024_San Martín_1</t>
  </si>
  <si>
    <t>56 San Martin</t>
  </si>
  <si>
    <t>56503 CTO 3</t>
  </si>
  <si>
    <t>64512624</t>
  </si>
  <si>
    <t>CES024_San Martín_2</t>
  </si>
  <si>
    <t>64512993</t>
  </si>
  <si>
    <t>CES024_San Martín_3</t>
  </si>
  <si>
    <t>PUT001_Las Delicias_1</t>
  </si>
  <si>
    <t>PUT001_Las Delicias_2</t>
  </si>
  <si>
    <t>PUT001_Las Delicias_3</t>
  </si>
  <si>
    <t>CAU086_Piendamora_1</t>
  </si>
  <si>
    <t xml:space="preserve">Piendamo 13.2 kV </t>
  </si>
  <si>
    <t>22-103</t>
  </si>
  <si>
    <t>CUN003_Suescapunto1</t>
  </si>
  <si>
    <t>CUN006_Botalón_1</t>
  </si>
  <si>
    <t>CUN006_Botalón_2</t>
  </si>
  <si>
    <t>CUN006_Botalón_3</t>
  </si>
  <si>
    <t>BOY010_Pontezuela_1</t>
  </si>
  <si>
    <t>BOY010_Pontezuela_2</t>
  </si>
  <si>
    <t>BOY010_Pontezuela_3</t>
  </si>
  <si>
    <t>BOY009_El Rodeo_1</t>
  </si>
  <si>
    <t>BOY009_El Rodeo_2</t>
  </si>
  <si>
    <t>BOY009_El Rodeo_3</t>
  </si>
  <si>
    <t>SAN037_La Vitrina_1</t>
  </si>
  <si>
    <t>Cimitarra</t>
  </si>
  <si>
    <t>SAN037_La Vitrina_2</t>
  </si>
  <si>
    <t>SAN037_La Vitrina_3</t>
  </si>
  <si>
    <t>CAS002_Las Villas_1</t>
  </si>
  <si>
    <t>CAS002_Las Villas_2</t>
  </si>
  <si>
    <t>CAS002_Las Villas_3</t>
  </si>
  <si>
    <t>2474579</t>
  </si>
  <si>
    <t>BOY004_Henrry_1</t>
  </si>
  <si>
    <t>BOY004_Henrry_2</t>
  </si>
  <si>
    <t>BOY004_Henrry_3</t>
  </si>
  <si>
    <t>61572134</t>
  </si>
  <si>
    <t>NAR057_El Corral_1</t>
  </si>
  <si>
    <t>Tambo</t>
  </si>
  <si>
    <t>57TB02</t>
  </si>
  <si>
    <t>NAR057_El Corral_2</t>
  </si>
  <si>
    <t>NAR057_El Corral_3</t>
  </si>
  <si>
    <t>4436360</t>
  </si>
  <si>
    <t>NAR056_Valparaíso_1</t>
  </si>
  <si>
    <t>NAR056_Valparaíso_2</t>
  </si>
  <si>
    <t>NAR056_Valparaíso_3</t>
  </si>
  <si>
    <t>CAU097_La Bendición_1</t>
  </si>
  <si>
    <t xml:space="preserve">Caloto 13.2 kV </t>
  </si>
  <si>
    <t>20-101</t>
  </si>
  <si>
    <t>CAU097_La Bendición_2</t>
  </si>
  <si>
    <t>CAU097_La Bendición_3</t>
  </si>
  <si>
    <t>CAU096_La Florida_1</t>
  </si>
  <si>
    <t>CAU096_La Florida_2</t>
  </si>
  <si>
    <t>CAU096_La Florida_3</t>
  </si>
  <si>
    <t>CAU100_La Arboleda_1</t>
  </si>
  <si>
    <t>CAU100_La Arboleda_2</t>
  </si>
  <si>
    <t>CAU100_La Arboleda_3</t>
  </si>
  <si>
    <t>NAR054_Predio Carlos González_1</t>
  </si>
  <si>
    <t>NAR054_Predio Carlos González_2</t>
  </si>
  <si>
    <t>NAR054_Predio Carlos González_3</t>
  </si>
  <si>
    <t>NAR053_Parcela Oveira_1</t>
  </si>
  <si>
    <t>NAR053_Parcela Oveira_2</t>
  </si>
  <si>
    <t>NAR053_Parcela Oveira_3</t>
  </si>
  <si>
    <t>CAU098_La Violeta_1</t>
  </si>
  <si>
    <t>ROSAS</t>
  </si>
  <si>
    <t>CAU098_La Violeta_2</t>
  </si>
  <si>
    <t>CAU098_La Violeta_3</t>
  </si>
  <si>
    <t>SAN035_Miraflores_1</t>
  </si>
  <si>
    <t>CHARALÁ</t>
  </si>
  <si>
    <t>SAN035_Miraflores_2</t>
  </si>
  <si>
    <t>SAN035_Miraflores_3</t>
  </si>
  <si>
    <t>QUI001_La Esmeralda_1</t>
  </si>
  <si>
    <t>EDEQ</t>
  </si>
  <si>
    <t>Puerto Espejo</t>
  </si>
  <si>
    <t>111-24</t>
  </si>
  <si>
    <t>359744</t>
  </si>
  <si>
    <t>QUI001_La Esmeralda_2</t>
  </si>
  <si>
    <t>359745</t>
  </si>
  <si>
    <t>QUI001_La Esmeralda_3</t>
  </si>
  <si>
    <t>359747</t>
  </si>
  <si>
    <t>BOY007_Teófilo_1</t>
  </si>
  <si>
    <t>Rio de Piedras</t>
  </si>
  <si>
    <t>BOY007_Teófilo_2</t>
  </si>
  <si>
    <t>BOY007_Teófilo_3</t>
  </si>
  <si>
    <t>CAS004_Alto Prado_1</t>
  </si>
  <si>
    <t>CAS004_Alto Prado_2</t>
  </si>
  <si>
    <t>EstructuracionG2@evolti.co</t>
  </si>
  <si>
    <t>CAS004_Alto Prado_3</t>
  </si>
  <si>
    <t>4506595</t>
  </si>
  <si>
    <t>CAS005_El Oso_1</t>
  </si>
  <si>
    <t>CAS005_El Oso_2</t>
  </si>
  <si>
    <t>CAS005_El Oso_3</t>
  </si>
  <si>
    <t>CAS003_Risaralda_1</t>
  </si>
  <si>
    <t>CAS003_Risaralda_2</t>
  </si>
  <si>
    <t>CAS003_Risaralda_3</t>
  </si>
  <si>
    <t>6507159</t>
  </si>
  <si>
    <t>SAN039_El Morro_1</t>
  </si>
  <si>
    <t>1804709</t>
  </si>
  <si>
    <t>SAN039_El Morro_2</t>
  </si>
  <si>
    <t>1804710</t>
  </si>
  <si>
    <t>SAN039_El Morro_3</t>
  </si>
  <si>
    <t>1804712</t>
  </si>
  <si>
    <t>NAR064_Salinas_1</t>
  </si>
  <si>
    <t>NAR064_Salinas_2</t>
  </si>
  <si>
    <t>NAR064_Salinas_3</t>
  </si>
  <si>
    <t>SAN038_La Rochera_1</t>
  </si>
  <si>
    <t>CAMPO 22</t>
  </si>
  <si>
    <t>SAN038_La Rochera_2</t>
  </si>
  <si>
    <t>1804771</t>
  </si>
  <si>
    <t>SAN038_La Rochera_3</t>
  </si>
  <si>
    <t>1804775</t>
  </si>
  <si>
    <t>VAL012_Caña_1</t>
  </si>
  <si>
    <t>EMCALI</t>
  </si>
  <si>
    <t>VAL012_Caña_2</t>
  </si>
  <si>
    <t>HUI002_San Martín_1</t>
  </si>
  <si>
    <t>BACP</t>
  </si>
  <si>
    <t>8305009</t>
  </si>
  <si>
    <t>HUI002_San Martín_2</t>
  </si>
  <si>
    <t>8305193</t>
  </si>
  <si>
    <t>HUI002_San Martín_3</t>
  </si>
  <si>
    <t>7305219</t>
  </si>
  <si>
    <t>CUN007_Arrayanes_1</t>
  </si>
  <si>
    <t>CUN007_Arrayanes_2</t>
  </si>
  <si>
    <t>CUN007_Arrayanes_3</t>
  </si>
  <si>
    <t>BOY014_Los Enrezados_1</t>
  </si>
  <si>
    <t>BOY014_Los Enrezados_2</t>
  </si>
  <si>
    <t>BOY014_Los Enrezados_3</t>
  </si>
  <si>
    <t>BOY017_San Pedro_1</t>
  </si>
  <si>
    <t>BOY017_San Pedro_2</t>
  </si>
  <si>
    <t>BOY017_San Pedro_3</t>
  </si>
  <si>
    <t>BOY015_Agudelo_1</t>
  </si>
  <si>
    <t>BOY015_Agudelo_2</t>
  </si>
  <si>
    <t>BOY015_Agudelo_3</t>
  </si>
  <si>
    <t>BOY019_Villapinzon_1</t>
  </si>
  <si>
    <t>HUNZA</t>
  </si>
  <si>
    <t>BOY019_Villapinzon_2</t>
  </si>
  <si>
    <t>BOY019_Villapinzon_3</t>
  </si>
  <si>
    <t>BOY018_Santo Domingo_1</t>
  </si>
  <si>
    <t>BOY018_Santo Domingo_2</t>
  </si>
  <si>
    <t>BOY018_Santo Domingo_3</t>
  </si>
  <si>
    <t>SAN040_Macaregua_1</t>
  </si>
  <si>
    <t>San Gil</t>
  </si>
  <si>
    <t>SAN040_Macaregua_2</t>
  </si>
  <si>
    <t>SAN040_Macaregua_3</t>
  </si>
  <si>
    <t>SAN041_El Chorro_1</t>
  </si>
  <si>
    <t>1805047</t>
  </si>
  <si>
    <t>SAN041_El Chorro_2</t>
  </si>
  <si>
    <t>1805048</t>
  </si>
  <si>
    <t>SAN041_El Chorro_3</t>
  </si>
  <si>
    <t>1805050</t>
  </si>
  <si>
    <t>SAN042_Palmar_1</t>
  </si>
  <si>
    <t>1805052</t>
  </si>
  <si>
    <t>SAN042_Palmar_2</t>
  </si>
  <si>
    <t>1805054</t>
  </si>
  <si>
    <t>SAN042_Palmar_3</t>
  </si>
  <si>
    <t>1805057</t>
  </si>
  <si>
    <t>BOY016_Salitre_1</t>
  </si>
  <si>
    <t>BOY016_Salitre_2</t>
  </si>
  <si>
    <t>BOY016_Salitre_3</t>
  </si>
  <si>
    <t>MET003_Puerto Gaitán_1</t>
  </si>
  <si>
    <t>MET003_Puerto Gaitán_2</t>
  </si>
  <si>
    <t>MET003_Puerto Gaitán_3</t>
  </si>
  <si>
    <t>CAS006_Jaguito_1</t>
  </si>
  <si>
    <t>CAS006_Jaguito_2</t>
  </si>
  <si>
    <t>CAS006_Jaguito_3</t>
  </si>
  <si>
    <t>NAR060_Palmas_1</t>
  </si>
  <si>
    <t>NAR060_Palmas_2</t>
  </si>
  <si>
    <t>NAR060_Palmas_3</t>
  </si>
  <si>
    <t>NAR061_Cimarrones_1</t>
  </si>
  <si>
    <t>NAR061_Cimarrones_2</t>
  </si>
  <si>
    <t>NAR061_Cimarrones_3</t>
  </si>
  <si>
    <t>NAR062_El Yunga_1</t>
  </si>
  <si>
    <t>NAR062_El Yunga_2</t>
  </si>
  <si>
    <t>NAR062_El Yunga_3</t>
  </si>
  <si>
    <t>NAR063_El Rosal_1</t>
  </si>
  <si>
    <t>NAR063_El Rosal_2</t>
  </si>
  <si>
    <t>NAR063_El Rosal_3</t>
  </si>
  <si>
    <t>Nombre</t>
  </si>
  <si>
    <t>Cargo</t>
  </si>
  <si>
    <t>Ing Diseño Minigranjas</t>
  </si>
  <si>
    <t xml:space="preserve">REGISTRO SOLICITUDES DE INSUMOS </t>
  </si>
  <si>
    <t xml:space="preserve">Proyecto/Predio
/Codigo </t>
  </si>
  <si>
    <t>Fecha</t>
  </si>
  <si>
    <t>Departamento/
Región</t>
  </si>
  <si>
    <t xml:space="preserve">Cuenta con Factura de energia </t>
  </si>
  <si>
    <t>Cuenta con Certificado de tradición y libertad</t>
  </si>
  <si>
    <t xml:space="preserve">Estado de solicitud </t>
  </si>
  <si>
    <t>Responsable</t>
  </si>
  <si>
    <t xml:space="preserve">Observaciones </t>
  </si>
  <si>
    <t>NAR035_EDS Canobajo</t>
  </si>
  <si>
    <t>Nariño</t>
  </si>
  <si>
    <t>En conflicto</t>
  </si>
  <si>
    <t>La subestación CHACHAGUI NO cuenta actualmente con capacidad disponible en el nivel de tensión de 13.8 kV.</t>
  </si>
  <si>
    <t>ATL022_Juan de Acosta</t>
  </si>
  <si>
    <t xml:space="preserve">Atlantico </t>
  </si>
  <si>
    <t>Realizado</t>
  </si>
  <si>
    <t>se solicitan insumos a 1,3 km de distancia de las coordenadas dadas.</t>
  </si>
  <si>
    <t>BOL007_San Estanislao</t>
  </si>
  <si>
    <t>Bolivar</t>
  </si>
  <si>
    <t>Sin Novedad</t>
  </si>
  <si>
    <t>COR001_El Papayo</t>
  </si>
  <si>
    <t>Cordoba</t>
  </si>
  <si>
    <t>CUN002_Chikua</t>
  </si>
  <si>
    <t>Cundinamarca</t>
  </si>
  <si>
    <t>ENEL responde que rechaza insumos para Chikua 2 y 3 porque solo estan dando 1 por promotor.</t>
  </si>
  <si>
    <t>ATL018_Sabanalarga 1</t>
  </si>
  <si>
    <t>El 08/04/2025 se Solicita a Maria Elena la cedula y certificado de tradicion y libertad del predio.</t>
  </si>
  <si>
    <t>NAR040</t>
  </si>
  <si>
    <t>CUN003_Suesca</t>
  </si>
  <si>
    <t>NAR042</t>
  </si>
  <si>
    <t>NAR041</t>
  </si>
  <si>
    <t>BOY001_La Palma</t>
  </si>
  <si>
    <t>Boyacá</t>
  </si>
  <si>
    <t xml:space="preserve">SAN007_La Moneda </t>
  </si>
  <si>
    <t xml:space="preserve">Santander </t>
  </si>
  <si>
    <t xml:space="preserve">Predio Descartado </t>
  </si>
  <si>
    <t>NAR037</t>
  </si>
  <si>
    <t>NAR039</t>
  </si>
  <si>
    <t>El predio se encuentra junto a NAR043, por lo tanto los insumos ya solicitados sirven para este.</t>
  </si>
  <si>
    <t>NAR043</t>
  </si>
  <si>
    <t>NAR045</t>
  </si>
  <si>
    <t>CES021_Predio</t>
  </si>
  <si>
    <t>Cesar</t>
  </si>
  <si>
    <t>Se realiza la solicitud sin tener el certificado de tradicion y libertad.</t>
  </si>
  <si>
    <t>CAU072</t>
  </si>
  <si>
    <t>Cauca</t>
  </si>
  <si>
    <t>MET004_La Ilusión</t>
  </si>
  <si>
    <t>Meta</t>
  </si>
  <si>
    <t>SAN022_Resplandor (Buenavista)</t>
  </si>
  <si>
    <t>CAU074_Predio 1 Ladrillera</t>
  </si>
  <si>
    <t>Enviaron los insumos el 10/04 763098486</t>
  </si>
  <si>
    <t>BOL006_La Integración</t>
  </si>
  <si>
    <t>COR002_San Carlos 1</t>
  </si>
  <si>
    <t>Córdoba</t>
  </si>
  <si>
    <t>Se realiza la solicitud con los documentos del propietario de COR003.</t>
  </si>
  <si>
    <t>COR003_San Carlos 2</t>
  </si>
  <si>
    <t>CES020_Bethania</t>
  </si>
  <si>
    <t>CES023_Guayacán</t>
  </si>
  <si>
    <t>se piden insumos a un transformador a 5 km de distancia del predio.</t>
  </si>
  <si>
    <t>NAR034_Anuc San Ramón</t>
  </si>
  <si>
    <t>SAN028_La Cantera</t>
  </si>
  <si>
    <t>CAU086_Piendamora</t>
  </si>
  <si>
    <t>CAU081_Villa Martha</t>
  </si>
  <si>
    <t>CAU073_El Resplandor</t>
  </si>
  <si>
    <t>CAU089_Cartón Colombia</t>
  </si>
  <si>
    <t>CAU080_Predio 7 Los Guabos</t>
  </si>
  <si>
    <t>CAU061</t>
  </si>
  <si>
    <t>NAR050_Olivos</t>
  </si>
  <si>
    <t>Entre Daniela, Carlos y Fabian</t>
  </si>
  <si>
    <t>COR004</t>
  </si>
  <si>
    <t>22/05/2025 Pendiente certificado de tradición y libertad</t>
  </si>
  <si>
    <t>NAR051_Parcela 28</t>
  </si>
  <si>
    <t>La subestación TAMINANGO NO cuenta actualmente con capacidad disponible en el nivel de tensión de 13.8 kV.</t>
  </si>
  <si>
    <t>CAU077_Predio 4</t>
  </si>
  <si>
    <t>NAR047_Vegas</t>
  </si>
  <si>
    <t>NAR049_Predio Don José</t>
  </si>
  <si>
    <t>CAU082_Predio 9 Finca Nacho</t>
  </si>
  <si>
    <t>CAU076_Predio 3</t>
  </si>
  <si>
    <t>CUN004_Altamira</t>
  </si>
  <si>
    <t>Entre Daniela, Carlos y Fabian (En las solicitudes se mandaron con nombre Alytamira porque inicialmente estaban así en el chat de Entrada).</t>
  </si>
  <si>
    <t xml:space="preserve">COR004_Santa Clara </t>
  </si>
  <si>
    <t>SAN027_Sabana</t>
  </si>
  <si>
    <t>SAN025_Buenos Aires</t>
  </si>
  <si>
    <t>SAN024_El Hongo</t>
  </si>
  <si>
    <t>SAN031_Punteral</t>
  </si>
  <si>
    <t>MET005_Upia</t>
  </si>
  <si>
    <t>Colaboracion de Daniela</t>
  </si>
  <si>
    <t>SAN033_Grima Alta</t>
  </si>
  <si>
    <t>PUT001_Las Delicias</t>
  </si>
  <si>
    <t>Putumayo</t>
  </si>
  <si>
    <t>CAU094_Loma Grande</t>
  </si>
  <si>
    <t>SAN032_La Esperanza</t>
  </si>
  <si>
    <t>BOY012_Celestino</t>
  </si>
  <si>
    <t>BOY005_Eucalipto</t>
  </si>
  <si>
    <t>MET006_El Guachimaron</t>
  </si>
  <si>
    <t>CUN005_Nazareth</t>
  </si>
  <si>
    <t>MET007</t>
  </si>
  <si>
    <t>BOY013_Cuta</t>
  </si>
  <si>
    <t>CES024_San Martín</t>
  </si>
  <si>
    <t>CUN006_Botalón</t>
  </si>
  <si>
    <t>BOY004_Henrry</t>
  </si>
  <si>
    <t>CAS002_Las Villas</t>
  </si>
  <si>
    <t>Casanare</t>
  </si>
  <si>
    <t>SAN037_La Vitrina</t>
  </si>
  <si>
    <t>BOY010_Pontezuela</t>
  </si>
  <si>
    <t>BOY009_El Rodeo</t>
  </si>
  <si>
    <t>NAR056_Valparaíso</t>
  </si>
  <si>
    <t>NAR057_El Corral</t>
  </si>
  <si>
    <t>QUI001_La Esmeralda</t>
  </si>
  <si>
    <t>Quindio</t>
  </si>
  <si>
    <t>CAU100_La Arboleda</t>
  </si>
  <si>
    <t>CAU097_La Bendición</t>
  </si>
  <si>
    <t>CAU096_La Florida</t>
  </si>
  <si>
    <t>CAU098_La Violeta</t>
  </si>
  <si>
    <t>NAR053_Parcela Oveira</t>
  </si>
  <si>
    <t>SAN035_Miraflores</t>
  </si>
  <si>
    <t>NAR054_Predio Carlos González</t>
  </si>
  <si>
    <t>HUI002_San Martín</t>
  </si>
  <si>
    <t>Huila</t>
  </si>
  <si>
    <t>Se hace la solicitud en un nodo 34,5 kV a 1,5 KM del predio.</t>
  </si>
  <si>
    <t>BOY007_Teófilo</t>
  </si>
  <si>
    <t>CAS003_Risaralda</t>
  </si>
  <si>
    <t>CAS004_Alto Prado</t>
  </si>
  <si>
    <t>CAS005_El Oso</t>
  </si>
  <si>
    <t>CES006_Nebula_6</t>
  </si>
  <si>
    <t>CES008_Orion_5</t>
  </si>
  <si>
    <t>SAN036_El Rincón</t>
  </si>
  <si>
    <t>NAR064_Salinas</t>
  </si>
  <si>
    <t>Se hace la solicitud a una distancia de 2,7 km del predio.</t>
  </si>
  <si>
    <t>SAN038_La Rochera</t>
  </si>
  <si>
    <t>CAS006_Jaguito</t>
  </si>
  <si>
    <t>SAN039_El Morro</t>
  </si>
  <si>
    <t>VAL012_Caña</t>
  </si>
  <si>
    <t>ValleCauca</t>
  </si>
  <si>
    <t>CUN007_Arrayanes</t>
  </si>
  <si>
    <t>BOY014_Los Enrezados</t>
  </si>
  <si>
    <t>BOY017_San Pedro</t>
  </si>
  <si>
    <t>BOY015_Agudelo</t>
  </si>
  <si>
    <t>SAN040_Macaregua</t>
  </si>
  <si>
    <t>SAN041_El Chorro</t>
  </si>
  <si>
    <t>SAN042_Palmar</t>
  </si>
  <si>
    <t>BOY019_Villapinzon</t>
  </si>
  <si>
    <t>BOY018_Santo Domingo</t>
  </si>
  <si>
    <t>BOY016_Salitre</t>
  </si>
  <si>
    <t>MET003_Puerto Gaitán</t>
  </si>
  <si>
    <t>NAR060_Palmas</t>
  </si>
  <si>
    <t>NAR061_Cimarrones</t>
  </si>
  <si>
    <t>NAR062_El Yunga</t>
  </si>
  <si>
    <t>NAR063_El Rosal</t>
  </si>
  <si>
    <t>PUT002_Las Vegas</t>
  </si>
  <si>
    <t>Pendiente</t>
  </si>
  <si>
    <t>PUT003_El Sabalo</t>
  </si>
  <si>
    <t>PUT004_Dalmecia</t>
  </si>
  <si>
    <t>PUT006_Ancura</t>
  </si>
  <si>
    <t>PUT007_Nueva Risaralda</t>
  </si>
  <si>
    <t>PUT005_El Líbano</t>
  </si>
  <si>
    <t>ANT009_Santa María</t>
  </si>
  <si>
    <t>Antioquia</t>
  </si>
  <si>
    <t>REGISTRO PROYECTOS ENVIADOS AL OPERADOR DE RED - ESTRUCTURACIÓN</t>
  </si>
  <si>
    <t xml:space="preserve">Fecha de Envio </t>
  </si>
  <si>
    <t xml:space="preserve">Operador de red </t>
  </si>
  <si>
    <t xml:space="preserve">Aprobación de diseños electricos y memorias de calculo </t>
  </si>
  <si>
    <t xml:space="preserve">Aprobación de estudio de conexión </t>
  </si>
  <si>
    <t xml:space="preserve">Fecha limite para recibir el aprobado del proyecto </t>
  </si>
  <si>
    <t xml:space="preserve">Fecha de aprobación del proyecto </t>
  </si>
  <si>
    <t xml:space="preserve">Estado del proyecto </t>
  </si>
  <si>
    <t xml:space="preserve">Fecha limite para pedir prorroga </t>
  </si>
  <si>
    <t>¿Se solicito prorroga?</t>
  </si>
  <si>
    <t>Fecha limite para conectar el proyecto a la red (sin prorroga)</t>
  </si>
  <si>
    <t>Fecha limite para conectar el proyecto a la red (con prorroga)</t>
  </si>
  <si>
    <t>Festivos Colombia 2025</t>
  </si>
  <si>
    <t xml:space="preserve"> </t>
  </si>
  <si>
    <t>GD Lyra</t>
  </si>
  <si>
    <t xml:space="preserve">Aprobado </t>
  </si>
  <si>
    <t xml:space="preserve">En proceso de construccion </t>
  </si>
  <si>
    <t>GD Orbis</t>
  </si>
  <si>
    <t>GD Nova 1</t>
  </si>
  <si>
    <t xml:space="preserve">En revisión </t>
  </si>
  <si>
    <t xml:space="preserve">Se envia paquete de planos y estudio de conexión a CEDENAR </t>
  </si>
  <si>
    <t>GD Nova 2</t>
  </si>
  <si>
    <t>GD El Prado_1</t>
  </si>
  <si>
    <t>GD El Prado_2</t>
  </si>
  <si>
    <t>GD Delta_1</t>
  </si>
  <si>
    <t>GD Delta_2</t>
  </si>
  <si>
    <t>GD Polaris_1</t>
  </si>
  <si>
    <t>GD Polaris_2</t>
  </si>
  <si>
    <t>GD Polaris_3</t>
  </si>
  <si>
    <t>GD VEGA_1</t>
  </si>
  <si>
    <t>GD EL Socorro</t>
  </si>
  <si>
    <t>Se envia paquete de planos y estudio de conexión a CELSIA</t>
  </si>
  <si>
    <t>GD Beer Seba 1</t>
  </si>
  <si>
    <t xml:space="preserve">Se envía subsanación el día 12 de junio
Saigue pendiente el aprobado de los diseños electricos </t>
  </si>
  <si>
    <t>GD Prado 3</t>
  </si>
  <si>
    <t>GD_Barranca</t>
  </si>
  <si>
    <t>GD_Vega_2</t>
  </si>
  <si>
    <t>GD_BeerSeba_2</t>
  </si>
  <si>
    <t>GD El CARMELO 1</t>
  </si>
  <si>
    <t xml:space="preserve">REGISTRO ESTUDIOS DE CONEXIÓN </t>
  </si>
  <si>
    <t xml:space="preserve">REGISTRO OC </t>
  </si>
  <si>
    <t xml:space="preserve">Fecha de emisión de los estudios </t>
  </si>
  <si>
    <t xml:space="preserve">Proveedor Estudio de conexión </t>
  </si>
  <si>
    <t xml:space="preserve">Operador de Red </t>
  </si>
  <si>
    <t xml:space="preserve">Subestación </t>
  </si>
  <si>
    <t xml:space="preserve">Circuito al que va conectado el proyecto </t>
  </si>
  <si>
    <t xml:space="preserve">Cargabilidad del transformador principal de la subestación </t>
  </si>
  <si>
    <t xml:space="preserve">Observaciones sobre las cantidades de proyectos analizados en el estudio de conexión </t>
  </si>
  <si>
    <t xml:space="preserve">Fecha limite para presentar proyecto al Operador de red </t>
  </si>
  <si>
    <t>ID Compra</t>
  </si>
  <si>
    <t>Orden de compra</t>
  </si>
  <si>
    <t>Precio (antes de IVA)</t>
  </si>
  <si>
    <t>PATRIOTAS</t>
  </si>
  <si>
    <t xml:space="preserve">En el estudio de conexión se simula 1 proyecto, es posible conectar 2 proyectos mas </t>
  </si>
  <si>
    <t xml:space="preserve">En espera </t>
  </si>
  <si>
    <t xml:space="preserve">Orden de compa con excel viejo </t>
  </si>
  <si>
    <t>CAU062_Beer-Seba_1</t>
  </si>
  <si>
    <t>SEYEP</t>
  </si>
  <si>
    <t xml:space="preserve">El Estrecho </t>
  </si>
  <si>
    <t>40-103 "Patía"</t>
  </si>
  <si>
    <t>Se realiza simulación con 1 proyecto y el equivalente de red de la subestación entregado por el OR</t>
  </si>
  <si>
    <t>8f49c86c</t>
  </si>
  <si>
    <t>OC-0144</t>
  </si>
  <si>
    <t>40-102 "Leyva"</t>
  </si>
  <si>
    <t>Se realiza simulación con 1 proyecto y teniendo en cuenta 1 proyecto en el circuito de Beer Seba, ademas del equivalente de red de la subestación entregado por el OR</t>
  </si>
  <si>
    <t>Enviado al OR</t>
  </si>
  <si>
    <t>f7b5127d</t>
  </si>
  <si>
    <t>OC-0145</t>
  </si>
  <si>
    <t>Santa Barbara</t>
  </si>
  <si>
    <t>Circuito 8</t>
  </si>
  <si>
    <t>Se radica el proyecto 30 de Mayo</t>
  </si>
  <si>
    <t>Se realiza simulación con 1 proyecto y teniendo en cuenta El Recreo 1</t>
  </si>
  <si>
    <t>Suesca 13,2 kV</t>
  </si>
  <si>
    <t>SUESCA-13-CACICAZGO--SS22D</t>
  </si>
  <si>
    <t>CAU044 - Prado 2</t>
  </si>
  <si>
    <t>4810fa6f</t>
  </si>
  <si>
    <t>OC-138</t>
  </si>
  <si>
    <t>CAU044 - Prado 3</t>
  </si>
  <si>
    <t>27ede317</t>
  </si>
  <si>
    <t>OC-0476</t>
  </si>
  <si>
    <t>Subestacion estrecho</t>
  </si>
  <si>
    <t xml:space="preserve">CEO </t>
  </si>
  <si>
    <t>ccfa9feb</t>
  </si>
  <si>
    <t>OC-0440</t>
  </si>
  <si>
    <t>CAU055 - Recreo 2</t>
  </si>
  <si>
    <t>7ac9d87a</t>
  </si>
  <si>
    <t>Se hace descuento en los primeros 5 ECS de SEYEP</t>
  </si>
  <si>
    <t>CAU062 Beer Seba 2</t>
  </si>
  <si>
    <t>Se realiza simulación con 1 proyecto y teniendo en cuenta 1 proyecto en el circuito de Beer Seba 1 y El Recreo, ademas del equivalente de red de la subestación entregado por el OR</t>
  </si>
  <si>
    <t>b2ed8a02</t>
  </si>
  <si>
    <t>OC-0638</t>
  </si>
  <si>
    <t xml:space="preserve">Tiene 10% descuento </t>
  </si>
  <si>
    <t>SAN012 - Fortuna</t>
  </si>
  <si>
    <t>Sabana</t>
  </si>
  <si>
    <t>No dieron información del transformador</t>
  </si>
  <si>
    <t>e1940706</t>
  </si>
  <si>
    <t>OC-0637</t>
  </si>
  <si>
    <t>OC-0639</t>
  </si>
  <si>
    <t>INFORMACIÓN OPERADORES DE RED</t>
  </si>
  <si>
    <t>Operador de Red</t>
  </si>
  <si>
    <t>Departamentos</t>
  </si>
  <si>
    <t>Pagina web</t>
  </si>
  <si>
    <t>Usuario</t>
  </si>
  <si>
    <t>Contraseña</t>
  </si>
  <si>
    <t>Contacto</t>
  </si>
  <si>
    <t>Telefono</t>
  </si>
  <si>
    <t>https://arcgisportal.ceoesp.com.co/visordisponibilidad/</t>
  </si>
  <si>
    <t>Evolti2025?</t>
  </si>
  <si>
    <t>provisiondeservicios@ceoesp.com</t>
  </si>
  <si>
    <t>Santiago Campos
Santiago.campos@ceoesp.com
---
Juan Camilo Cuero Grueso 
Encargado de proyectos GD en CEO
Contacto: (+57) 310 3923052
Correo: juan.cuero@ceoesp.com
-----
Andrea Usma Hernandez 
"Auxiliar" Proyectos GD en CEO
Contacto: (+57) 310 2241517
Correo: andrea.usma@geiico.com.co
---------------------
Jessica Núñez Arias 
Profesional de conexiones (Revisa estudios de conexión)
Contacto: (+57) 304 5533131  
jessica.nunez@ceoesp.com</t>
  </si>
  <si>
    <t>El Ingeniero Juan Camilo Cuero, es el responsable de los proyectos GD, sin embargo, la persona que esta directamente revisando los procesos es Andre Usma, por lo que el contacto inicial seria con andres (a solicitud del mismo ingeniero Juan)</t>
  </si>
  <si>
    <t>https://maps.epm.com.co/ETER/Visor/Visor</t>
  </si>
  <si>
    <t>http://35.188.201.15/cedenar_generacion_distribuida/ o http://34.56.121.192/cedenar_generacion_distribuida/</t>
  </si>
  <si>
    <t>gdconect@cedenar.com.co</t>
  </si>
  <si>
    <t>Oscar Eduardo Realpe</t>
  </si>
  <si>
    <t>Magdalena, Atlantico, Guajira</t>
  </si>
  <si>
    <t>https://servicios.air-e.com/CREG030/</t>
  </si>
  <si>
    <t>autogeneracionygd@air-e.com</t>
  </si>
  <si>
    <t>Cesar, Bolivar, Sucre, Cordoba</t>
  </si>
  <si>
    <t>https://servicios.energiacaribemar.co/Autogeneracion/</t>
  </si>
  <si>
    <t>gestion.agygd@afinia.com.co</t>
  </si>
  <si>
    <t>Shirly Jimenez (shirly.jimenez@afinia.com.co)</t>
  </si>
  <si>
    <t>Tolima, Valle del Cauca</t>
  </si>
  <si>
    <t>https://nube.celsia.com:4443/autogeneradores/login</t>
  </si>
  <si>
    <t>Evolti2025%</t>
  </si>
  <si>
    <t>autogeneradores@celsia.com</t>
  </si>
  <si>
    <t>Oscar Julian Borja</t>
  </si>
  <si>
    <t> </t>
  </si>
  <si>
    <t>http://35.184.36.98/eh_generacion_distribuida/</t>
  </si>
  <si>
    <t>radicacion@electohuila.co</t>
  </si>
  <si>
    <t>https://www.enel.com.co/es/solicitud-autogeneradores.html</t>
  </si>
  <si>
    <t>Evolti2025*</t>
  </si>
  <si>
    <t>http://35.192.191.188/ebsa_generacion_distribuida/</t>
  </si>
  <si>
    <t xml:space="preserve"> agpe_gd@ebsa.com.co</t>
  </si>
  <si>
    <t>SPARD® Generación Distribuida</t>
  </si>
  <si>
    <t>Caldas, Risaralda</t>
  </si>
  <si>
    <t>Usuarios Autogeneradores y Generadores Distribuidos (chec.com.co)</t>
  </si>
  <si>
    <t>Evolti2024!</t>
  </si>
  <si>
    <t>Juan Camilo</t>
  </si>
  <si>
    <t>https://www.essa.com.co/site/clientes/hogar/tramites-y-servicios-hogar/autogeneracion</t>
  </si>
  <si>
    <t>autogeneradores@essa.com.co</t>
  </si>
  <si>
    <t xml:space="preserve">Francisco Camargo </t>
  </si>
  <si>
    <t xml:space="preserve">[el contacto es el numero personal del Ingeniero Francisco] - Persona encargada de proyectos de Generación distribuida </t>
  </si>
  <si>
    <t xml:space="preserve">Cartago </t>
  </si>
  <si>
    <t>https://energiapereira.eep.com.co/Autogeneradores/</t>
  </si>
  <si>
    <t xml:space="preserve">Pablo Henao </t>
  </si>
  <si>
    <t>Contacto de WhatsApp</t>
  </si>
  <si>
    <t>EEBPSA</t>
  </si>
  <si>
    <t>https://eebpsa.com.co/atencion-al-usuario/</t>
  </si>
  <si>
    <t>eebp@eebpsa.com.co</t>
  </si>
  <si>
    <t>Quindío</t>
  </si>
  <si>
    <t>https://sedeelectronica.edeq.com.co/</t>
  </si>
  <si>
    <t>http://34.68.97.30/solicitante/</t>
  </si>
  <si>
    <t>prof4.planeamiento@enerca.com.co</t>
  </si>
  <si>
    <t xml:space="preserve">Ingeniero Jose Beltran </t>
  </si>
  <si>
    <t>https://www.emcali.com.co/web/servicios/autogeneracion/consultar-disponibilidad</t>
  </si>
  <si>
    <t>CONTROL DE TIEMPOS SOLICITUDES</t>
  </si>
  <si>
    <t>Fecha de inicio</t>
  </si>
  <si>
    <t>5 días habiles</t>
  </si>
  <si>
    <t>Cuándo se ha recordado</t>
  </si>
  <si>
    <t>Si ya llegaron, se suman 140 días (5 meses)
Si no han llegado se cuenta como si llegara hoy</t>
  </si>
  <si>
    <t>10 días habiles tiene el OR.
Si ya se enviaron se cuenta desde esa fecha.
Si no se han enviado se cuenta desde el plazo máximo</t>
  </si>
  <si>
    <t>6 meses.
Se toma el valor de la vigencia si ya lo tenemos, si no, se suman 6 meses al plazo de verificación técnica.</t>
  </si>
  <si>
    <t>3 meses adicionales al plazo de conexión sin prorroga</t>
  </si>
  <si>
    <t>Codigo</t>
  </si>
  <si>
    <t>Fecha Inicio solicitud de conexion</t>
  </si>
  <si>
    <t>Plazo entrega insumos</t>
  </si>
  <si>
    <t>Recordatorio insumos</t>
  </si>
  <si>
    <t>Fecha insumos recibidos</t>
  </si>
  <si>
    <t xml:space="preserve">Plazo Estudio de conexion simplificado </t>
  </si>
  <si>
    <t xml:space="preserve">Envio Estudio de conexion simplificado </t>
  </si>
  <si>
    <t>Plazo Verificación técnica de la documentación</t>
  </si>
  <si>
    <t>Llegada de verificación técnica de la documentación</t>
  </si>
  <si>
    <t>Vigencia OR</t>
  </si>
  <si>
    <t>Plazo de la conexión (sin prorroga)</t>
  </si>
  <si>
    <t>Plazo conexión (Con prorroga)</t>
  </si>
  <si>
    <t>Dia conexión</t>
  </si>
  <si>
    <t>Insumos</t>
  </si>
  <si>
    <t>Evaluación OR</t>
  </si>
  <si>
    <t>Conexión</t>
  </si>
  <si>
    <t>Solicitud</t>
  </si>
  <si>
    <t>Entrega insumos</t>
  </si>
  <si>
    <t>Mes 1</t>
  </si>
  <si>
    <t>Mes 2</t>
  </si>
  <si>
    <t>Mes 3</t>
  </si>
  <si>
    <t>Mes 4</t>
  </si>
  <si>
    <t>mes 5</t>
  </si>
  <si>
    <t xml:space="preserve">10 dias </t>
  </si>
  <si>
    <t>mes 1</t>
  </si>
  <si>
    <t>mes 2</t>
  </si>
  <si>
    <t>mes 3</t>
  </si>
  <si>
    <t>mes 4</t>
  </si>
  <si>
    <t>mes 6</t>
  </si>
  <si>
    <t>mes 7</t>
  </si>
  <si>
    <t>mes 8</t>
  </si>
  <si>
    <t>mes 9</t>
  </si>
  <si>
    <t>N° Actividad</t>
  </si>
  <si>
    <t>Inicio</t>
  </si>
  <si>
    <t>Final</t>
  </si>
  <si>
    <t>Fecha insumos recibiods</t>
  </si>
  <si>
    <t>Creg174-2021</t>
  </si>
  <si>
    <t>Acción</t>
  </si>
  <si>
    <t>Fecha Límite</t>
  </si>
  <si>
    <t>Tiempo Requerido</t>
  </si>
  <si>
    <t>Pagina del PDF</t>
  </si>
  <si>
    <t>Notas Adicionales</t>
  </si>
  <si>
    <t>Entrega de documento con cambios y formulario</t>
  </si>
  <si>
    <t>Al momento de radicación</t>
  </si>
  <si>
    <t>-</t>
  </si>
  <si>
    <t>Se debe entregar junto con la solicitud de conexión simplificado.</t>
  </si>
  <si>
    <t>Revisión de completitud de la documentación</t>
  </si>
  <si>
    <t>Dentro de 5 días hábiles</t>
  </si>
  <si>
    <t>5 días hábiles</t>
  </si>
  <si>
    <t>El OR debe registrar la finalización en el sistema y notificar al solicitante.</t>
  </si>
  <si>
    <t>Estudio de conexión simplificado</t>
  </si>
  <si>
    <t>Dentro de 5 meses</t>
  </si>
  <si>
    <t>5 meses</t>
  </si>
  <si>
    <t>Puede ser realizado por el interesado o por el OR a solicitud del interesado.</t>
  </si>
  <si>
    <t>Verificación técnica de la documentación</t>
  </si>
  <si>
    <t>Según tiempos establecidos</t>
  </si>
  <si>
    <t>10 días habiles</t>
  </si>
  <si>
    <t>El OR verifica el cumplimiento de normas y requisitos técnicos.</t>
  </si>
  <si>
    <t>Entrega de documentación necesaria para el estudio</t>
  </si>
  <si>
    <t>El OR debe entregar la documentación necesaria a través del sistema de trámite.</t>
  </si>
  <si>
    <t>Vigencia de aprobación de la conexión (construcción)</t>
  </si>
  <si>
    <t>6 Meses - 9 Meses</t>
  </si>
  <si>
    <t xml:space="preserve"> se deberá solicitar en el sistema de trámite en línea al menos un (1) mes antes de la finalización de la vigencia de seis (6) meses inicialmente aprobada, y se entenderá aprobada una vez cargada en el sistema.</t>
  </si>
  <si>
    <t>Notificación de rechazo de conexión</t>
  </si>
  <si>
    <t>Según plazos otorgados</t>
  </si>
  <si>
    <t>Si el OR no actúa en los plazos, se debe informar a la Superintendencia.</t>
  </si>
  <si>
    <t>Acuerdo Marco para Realización de Estudios de Conexión Proyectos Solares FV sin Almacenamiento</t>
  </si>
  <si>
    <t>CINERGY SAS</t>
  </si>
  <si>
    <t xml:space="preserve"> OFER-457-V3 </t>
  </si>
  <si>
    <t>Valor</t>
  </si>
  <si>
    <t>Campeche</t>
  </si>
  <si>
    <t>Campo de la cruz</t>
  </si>
  <si>
    <t>Unicentro - 400kW AC</t>
  </si>
  <si>
    <t>Ces008 - Buena Vista</t>
  </si>
  <si>
    <t>Nebula 2</t>
  </si>
  <si>
    <t>CES008 - Buena Vista 2</t>
  </si>
  <si>
    <t>CES004 - Villa Clara</t>
  </si>
  <si>
    <t>ATL005 - Sirio 2</t>
  </si>
  <si>
    <t>ATL005 - Sirio 3</t>
  </si>
  <si>
    <t>ATL005 - Sirio 4</t>
  </si>
  <si>
    <t>ATL002 - Altair 2</t>
  </si>
  <si>
    <t>ATL002 - Altair 3</t>
  </si>
  <si>
    <t>ATL002 - Altair 4</t>
  </si>
  <si>
    <t>CAU028 - Villa Cristina 2</t>
  </si>
  <si>
    <t xml:space="preserve">CES013_LaFrancia </t>
  </si>
  <si>
    <t>GUAJ001_ElRamal</t>
  </si>
  <si>
    <t>SAN005_La-Guacamaya</t>
  </si>
  <si>
    <t>CAU053_La_Barranca_1</t>
  </si>
  <si>
    <t>CAU044_El Prado_1</t>
  </si>
  <si>
    <t>VAL006 - El Socorro_1</t>
  </si>
  <si>
    <t>NAR031_Chachagui_1</t>
  </si>
  <si>
    <t>CAU039_El Carmelo _1</t>
  </si>
  <si>
    <t>NAR031_Chachagui_2</t>
  </si>
  <si>
    <t>CAU053_La_Barranca_2</t>
  </si>
  <si>
    <t>CAU053_La_Barranca_3</t>
  </si>
  <si>
    <t>Hospital Ingantil</t>
  </si>
  <si>
    <t xml:space="preserve">Cuadro de Diseños redes MT </t>
  </si>
  <si>
    <t>Código</t>
  </si>
  <si>
    <t>Fecha Solicitud</t>
  </si>
  <si>
    <t>Fecha entrega</t>
  </si>
  <si>
    <t>Delta</t>
  </si>
  <si>
    <t>Derian Chavez</t>
  </si>
  <si>
    <t>Polaris</t>
  </si>
  <si>
    <t>Camilo Patiño</t>
  </si>
  <si>
    <t>Lyra-Orbis</t>
  </si>
  <si>
    <t>Chachagui</t>
  </si>
  <si>
    <t>Nova</t>
  </si>
  <si>
    <t>Recreo</t>
  </si>
  <si>
    <t>Jorge Yacumal</t>
  </si>
  <si>
    <t>Socorro</t>
  </si>
  <si>
    <t>BOY012_Celestino 1</t>
  </si>
  <si>
    <t>BOY012_Celestino 2</t>
  </si>
  <si>
    <t>BOY012_Celestino 3</t>
  </si>
  <si>
    <t>GD_Vega_3</t>
  </si>
  <si>
    <t>GD_Tincita 1</t>
  </si>
  <si>
    <t xml:space="preserve">Naos 4 </t>
  </si>
  <si>
    <t>Naos 5</t>
  </si>
  <si>
    <t>Naos 6</t>
  </si>
  <si>
    <t xml:space="preserve">Fecha conexión sin prorroga </t>
  </si>
  <si>
    <t xml:space="preserve">Fecha conexión con prorroga </t>
  </si>
  <si>
    <t>68-502</t>
  </si>
  <si>
    <t>BOY013_Flor Iniriada_1</t>
  </si>
  <si>
    <t>SAN037 - La Vitrina_1</t>
  </si>
  <si>
    <t>SAN021_BERLIN</t>
  </si>
  <si>
    <t>SAN021_BERLIN_1</t>
  </si>
  <si>
    <t>SAN021_BERLIN_2</t>
  </si>
  <si>
    <t>SAN021_BERLIN_3</t>
  </si>
  <si>
    <t>SAN037_La Vitrina_final</t>
  </si>
  <si>
    <t>1803223</t>
  </si>
  <si>
    <t>GD_LA VITRINA 1</t>
  </si>
  <si>
    <t>1806248</t>
  </si>
  <si>
    <t>1806249</t>
  </si>
  <si>
    <t>GD_Porvenir_1</t>
  </si>
  <si>
    <t>GD_Nazareth_1</t>
  </si>
  <si>
    <t>GD_Celestino_1</t>
  </si>
  <si>
    <t>1802073</t>
  </si>
  <si>
    <t>NAR071_El Llano</t>
  </si>
  <si>
    <t>NAR070_Guaitara</t>
  </si>
  <si>
    <t>NAR069_Estadio</t>
  </si>
  <si>
    <t>NAR067_La Blanquita</t>
  </si>
  <si>
    <t>PUT008_Villagarzón</t>
  </si>
  <si>
    <t>BOY020_La Congregación</t>
  </si>
  <si>
    <t>ANT012_Trianón</t>
  </si>
  <si>
    <t>BOY020_La Congregación_1</t>
  </si>
  <si>
    <t>PUT002_Las Vegas_1</t>
  </si>
  <si>
    <t>C15</t>
  </si>
  <si>
    <t>PUT002_Las Vegas_2</t>
  </si>
  <si>
    <t>636183</t>
  </si>
  <si>
    <t>436285</t>
  </si>
  <si>
    <t>NAR075_Mirador</t>
  </si>
  <si>
    <t>NAR074_Guanábano</t>
  </si>
  <si>
    <t>NAR073_Chupadero</t>
  </si>
  <si>
    <t>PUT003_El Sabalo_1</t>
  </si>
  <si>
    <t>PUT003_El Sabalo_2</t>
  </si>
  <si>
    <t>C12</t>
  </si>
  <si>
    <t>PUT004_Dalmecia_1</t>
  </si>
  <si>
    <t>C16</t>
  </si>
  <si>
    <t>PUT004_Dalmecia_2</t>
  </si>
  <si>
    <t>GD_Suesca_1</t>
  </si>
  <si>
    <t>En proceso</t>
  </si>
  <si>
    <t>PUT006_Ancura_1</t>
  </si>
  <si>
    <t>C18</t>
  </si>
  <si>
    <t>PUT006_Ancura_2</t>
  </si>
  <si>
    <t>EL PASO 1</t>
  </si>
  <si>
    <t xml:space="preserve">EL PASO </t>
  </si>
  <si>
    <t>GD_Tincita_2</t>
  </si>
  <si>
    <t>NAR070_Guaitara_1</t>
  </si>
  <si>
    <t>03AN02</t>
  </si>
  <si>
    <t>NAR070_Guaitara_2</t>
  </si>
  <si>
    <t>NAR070_Guaitara_3</t>
  </si>
  <si>
    <t>NAR067_La Blanquita_1</t>
  </si>
  <si>
    <t>NAR067_La Blanquita_2</t>
  </si>
  <si>
    <t>NAR067_La Blanquita_3</t>
  </si>
  <si>
    <t>PUT007_Nueva Risaralda_1</t>
  </si>
  <si>
    <t>PUT007_Nueva Risaralda_2</t>
  </si>
  <si>
    <t>PUT007_Nueva Risaralda_3</t>
  </si>
  <si>
    <t>C14</t>
  </si>
  <si>
    <t>736325</t>
  </si>
  <si>
    <t>54SP02</t>
  </si>
  <si>
    <t>NAR075_Mirador_1</t>
  </si>
  <si>
    <t>NAR075_Mirador_2</t>
  </si>
  <si>
    <t>NAR075_Mirador_3</t>
  </si>
  <si>
    <t>NAR073_Chupadero_1</t>
  </si>
  <si>
    <t>51RF02</t>
  </si>
  <si>
    <t>NAR073_Chupadero_2</t>
  </si>
  <si>
    <t>NAR073_Chupadero_3</t>
  </si>
  <si>
    <t>GD_EVOLTI_3</t>
  </si>
  <si>
    <t>CAU102_Reserva</t>
  </si>
  <si>
    <t>CAU102_Reserva_1</t>
  </si>
  <si>
    <t>CAU102_Reserva_2</t>
  </si>
  <si>
    <t>CAU102_Reserva_3</t>
  </si>
  <si>
    <t>El Bordo</t>
  </si>
  <si>
    <t>21-101</t>
  </si>
  <si>
    <t>NAR072_Alma</t>
  </si>
  <si>
    <t>Página caída</t>
  </si>
  <si>
    <t>NAR066_Santa Cruz</t>
  </si>
  <si>
    <t>No se solicitan insumos ya que el predio se encuentra cerca a NAR070_Guaitara, nos servirían los mismos insumos</t>
  </si>
  <si>
    <t>CAU044_El Prado_5</t>
  </si>
  <si>
    <t>NAR074_Guanábano_1</t>
  </si>
  <si>
    <t>NAR074_Guanábano_2</t>
  </si>
  <si>
    <t>NAR074_Guanábano_3</t>
  </si>
  <si>
    <t>NAR066_Santa Cruz_1</t>
  </si>
  <si>
    <t>NAR066_Santa Cruz_2</t>
  </si>
  <si>
    <t>NAR066_Santa Cruz_3</t>
  </si>
  <si>
    <t>53SL02</t>
  </si>
  <si>
    <t>53SL03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</si>
</sst>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6" formatCode="&quot;$&quot;\ #,##0;[Red]\-&quot;$&quot;\ #,##0"/>
    <numFmt numFmtId="44" formatCode="_-&quot;$&quot;\ * #,##0.00_-;\-&quot;$&quot;\ * #,##0.00_-;_-&quot;$&quot;\ * &quot;-&quot;??_-;_-@_-"/>
    <numFmt numFmtId="164" formatCode="dd/mm/yyyy;@"/>
    <numFmt numFmtId="165" formatCode="d/mm/yy;@"/>
    <numFmt numFmtId="166" formatCode="[$-F800]dddd\,\ mmmm\ dd\,\ yyyy"/>
    <numFmt numFmtId="167" formatCode="_-[$$-240A]\ * #,##0.00_-;\-[$$-240A]\ * #,##0.00_-;_-[$$-240A]\ * &quot;-&quot;??_-;_-@_-"/>
  </numFmts>
  <fonts count="37" x14ac:knownFonts="1">
    <font>
      <sz val="11"/>
      <color theme="1"/>
      <name val="Calibri"/>
      <family val="2"/>
      <scheme val="minor"/>
    </font>
    <font>
      <u/>
      <sz val="11"/>
      <color theme="10"/>
      <name val="Calibri"/>
      <family val="2"/>
      <scheme val="minor"/>
    </font>
    <font>
      <sz val="11"/>
      <name val="Calibri"/>
      <family val="2"/>
      <scheme val="minor"/>
    </font>
    <font>
      <sz val="11"/>
      <color theme="1"/>
      <name val="Calibri"/>
      <family val="2"/>
      <scheme val="minor"/>
    </font>
    <font>
      <b/>
      <sz val="11"/>
      <color theme="1"/>
      <name val="Calibri"/>
      <family val="2"/>
      <scheme val="minor"/>
    </font>
    <font>
      <sz val="11"/>
      <color rgb="FF9C5700"/>
      <name val="Calibri"/>
      <family val="2"/>
      <scheme val="minor"/>
    </font>
    <font>
      <sz val="12"/>
      <color theme="1"/>
      <name val="Calibri"/>
      <family val="2"/>
      <scheme val="minor"/>
    </font>
    <font>
      <u/>
      <sz val="12"/>
      <color theme="10"/>
      <name val="Calibri"/>
      <family val="2"/>
      <scheme val="minor"/>
    </font>
    <font>
      <b/>
      <sz val="12"/>
      <color theme="1"/>
      <name val="Calibri"/>
      <family val="2"/>
      <scheme val="minor"/>
    </font>
    <font>
      <b/>
      <sz val="14"/>
      <color rgb="FF0000CC"/>
      <name val="Calibri"/>
      <family val="2"/>
      <scheme val="minor"/>
    </font>
    <font>
      <b/>
      <sz val="12"/>
      <color rgb="FF0000CC"/>
      <name val="Calibri"/>
      <family val="2"/>
      <scheme val="minor"/>
    </font>
    <font>
      <b/>
      <sz val="14"/>
      <color rgb="FF0000FF"/>
      <name val="Calibri"/>
      <family val="2"/>
      <scheme val="minor"/>
    </font>
    <font>
      <b/>
      <sz val="11"/>
      <color rgb="FF242424"/>
      <name val="Aptos Narrow"/>
      <family val="2"/>
    </font>
    <font>
      <sz val="12"/>
      <color rgb="FF000000"/>
      <name val="Aptos"/>
      <family val="2"/>
    </font>
    <font>
      <b/>
      <sz val="8"/>
      <color theme="0"/>
      <name val="Arial"/>
      <family val="2"/>
    </font>
    <font>
      <b/>
      <sz val="8"/>
      <color theme="1"/>
      <name val="Arial"/>
      <family val="2"/>
    </font>
    <font>
      <sz val="8"/>
      <color theme="1"/>
      <name val="Arial"/>
      <family val="2"/>
    </font>
    <font>
      <sz val="9"/>
      <color indexed="81"/>
      <name val="Tahoma"/>
      <family val="2"/>
    </font>
    <font>
      <b/>
      <sz val="9"/>
      <color indexed="81"/>
      <name val="Tahoma"/>
      <family val="2"/>
    </font>
    <font>
      <b/>
      <sz val="14"/>
      <color theme="1"/>
      <name val="Calibri"/>
      <family val="2"/>
      <scheme val="minor"/>
    </font>
    <font>
      <sz val="11"/>
      <color rgb="FF9C0006"/>
      <name val="Calibri"/>
      <family val="2"/>
      <scheme val="minor"/>
    </font>
    <font>
      <sz val="8"/>
      <name val="Calibri"/>
      <family val="2"/>
      <scheme val="minor"/>
    </font>
    <font>
      <b/>
      <sz val="12"/>
      <color rgb="FF0000FF"/>
      <name val="Calibri"/>
      <family val="2"/>
    </font>
    <font>
      <sz val="11"/>
      <color rgb="FF000000"/>
      <name val="Calibri"/>
      <family val="2"/>
    </font>
    <font>
      <b/>
      <sz val="12"/>
      <color theme="0"/>
      <name val="Calibri"/>
      <family val="2"/>
      <scheme val="minor"/>
    </font>
    <font>
      <b/>
      <sz val="12"/>
      <name val="Calibri"/>
      <family val="2"/>
      <scheme val="minor"/>
    </font>
    <font>
      <b/>
      <sz val="20"/>
      <color rgb="FF0000CC"/>
      <name val="Calibri"/>
      <family val="2"/>
      <scheme val="minor"/>
    </font>
    <font>
      <sz val="12"/>
      <color rgb="FF242424"/>
      <name val="Calibri"/>
      <family val="2"/>
      <scheme val="minor"/>
    </font>
    <font>
      <sz val="12"/>
      <color rgb="FF000000"/>
      <name val="Calibri"/>
      <family val="2"/>
      <scheme val="minor"/>
    </font>
    <font>
      <b/>
      <sz val="12"/>
      <color rgb="FF0000FF"/>
      <name val="Calibri"/>
      <family val="2"/>
      <scheme val="minor"/>
    </font>
    <font>
      <sz val="12"/>
      <name val="Calibri"/>
      <family val="2"/>
      <scheme val="minor"/>
    </font>
    <font>
      <b/>
      <sz val="14"/>
      <name val="Calibri"/>
      <family val="2"/>
      <scheme val="minor"/>
    </font>
    <font>
      <sz val="16"/>
      <color theme="1"/>
      <name val="Calibri"/>
      <family val="2"/>
      <scheme val="minor"/>
    </font>
    <font>
      <b/>
      <sz val="16"/>
      <color theme="1"/>
      <name val="Calibri"/>
      <family val="2"/>
      <scheme val="minor"/>
    </font>
    <font>
      <b/>
      <sz val="11"/>
      <color rgb="FF0000FF"/>
      <name val="Calibri"/>
      <family val="2"/>
    </font>
    <font>
      <b/>
      <sz val="11"/>
      <color rgb="FF0000CC"/>
      <name val="Calibri"/>
      <family val="2"/>
      <scheme val="minor"/>
    </font>
    <font>
      <u/>
      <sz val="11"/>
      <color rgb="FF0563C1"/>
      <name val="Calibri"/>
      <family val="2"/>
      <scheme val="minor"/>
    </font>
  </fonts>
  <fills count="17">
    <fill>
      <patternFill patternType="none"/>
    </fill>
    <fill>
      <patternFill patternType="gray125"/>
    </fill>
    <fill>
      <patternFill patternType="solid">
        <fgColor rgb="FFFFEB9C"/>
      </patternFill>
    </fill>
    <fill>
      <patternFill patternType="solid">
        <fgColor rgb="FF92D050"/>
        <bgColor indexed="64"/>
      </patternFill>
    </fill>
    <fill>
      <patternFill patternType="solid">
        <fgColor theme="9" tint="-0.249977111117893"/>
        <bgColor indexed="64"/>
      </patternFill>
    </fill>
    <fill>
      <patternFill patternType="solid">
        <fgColor theme="7" tint="0.59999389629810485"/>
        <bgColor indexed="64"/>
      </patternFill>
    </fill>
    <fill>
      <patternFill patternType="solid">
        <fgColor rgb="FFFFC7CE"/>
      </patternFill>
    </fill>
    <fill>
      <patternFill patternType="solid">
        <fgColor theme="5" tint="0.39997558519241921"/>
        <bgColor indexed="64"/>
      </patternFill>
    </fill>
    <fill>
      <patternFill patternType="solid">
        <fgColor rgb="FFFFFF00"/>
        <bgColor indexed="64"/>
      </patternFill>
    </fill>
    <fill>
      <patternFill patternType="solid">
        <fgColor theme="0" tint="-0.14999847407452621"/>
        <bgColor indexed="64"/>
      </patternFill>
    </fill>
    <fill>
      <patternFill patternType="solid">
        <fgColor theme="0"/>
        <bgColor indexed="64"/>
      </patternFill>
    </fill>
    <fill>
      <patternFill patternType="solid">
        <fgColor theme="2"/>
        <bgColor indexed="64"/>
      </patternFill>
    </fill>
    <fill>
      <patternFill patternType="solid">
        <fgColor rgb="FFFFFFFF"/>
        <bgColor indexed="64"/>
      </patternFill>
    </fill>
    <fill>
      <patternFill patternType="solid">
        <fgColor theme="0" tint="-0.249977111117893"/>
        <bgColor indexed="64"/>
      </patternFill>
    </fill>
    <fill>
      <patternFill patternType="solid">
        <fgColor theme="7" tint="-0.249977111117893"/>
        <bgColor indexed="64"/>
      </patternFill>
    </fill>
    <fill>
      <patternFill patternType="solid">
        <fgColor rgb="FFFF0000"/>
        <bgColor indexed="64"/>
      </patternFill>
    </fill>
    <fill>
      <patternFill patternType="solid">
        <fgColor rgb="FF002060"/>
        <bgColor indexed="64"/>
      </patternFill>
    </fill>
  </fills>
  <borders count="61">
    <border>
      <left/>
      <right/>
      <top/>
      <bottom/>
      <diagonal/>
    </border>
    <border>
      <left style="thin">
        <color indexed="64"/>
      </left>
      <right style="thin">
        <color indexed="64"/>
      </right>
      <top style="thin">
        <color indexed="64"/>
      </top>
      <bottom style="thin">
        <color indexed="64"/>
      </bottom>
      <diagonal/>
    </border>
    <border>
      <left/>
      <right/>
      <top style="thin">
        <color theme="4"/>
      </top>
      <bottom/>
      <diagonal/>
    </border>
    <border>
      <left/>
      <right/>
      <top style="medium">
        <color indexed="64"/>
      </top>
      <bottom style="medium">
        <color indexed="64"/>
      </bottom>
      <diagonal/>
    </border>
    <border>
      <left/>
      <right/>
      <top style="medium">
        <color rgb="FF0000FF"/>
      </top>
      <bottom style="medium">
        <color rgb="FF0000FF"/>
      </bottom>
      <diagonal/>
    </border>
    <border>
      <left/>
      <right style="medium">
        <color rgb="FF0000FF"/>
      </right>
      <top style="medium">
        <color rgb="FF0000FF"/>
      </top>
      <bottom style="medium">
        <color rgb="FF0000FF"/>
      </bottom>
      <diagonal/>
    </border>
    <border>
      <left style="thin">
        <color rgb="FF0000FF"/>
      </left>
      <right style="thin">
        <color rgb="FF0000FF"/>
      </right>
      <top style="thin">
        <color rgb="FF0000FF"/>
      </top>
      <bottom style="thin">
        <color rgb="FF0000FF"/>
      </bottom>
      <diagonal/>
    </border>
    <border>
      <left style="thin">
        <color rgb="FF000000"/>
      </left>
      <right style="thin">
        <color rgb="FF000000"/>
      </right>
      <top style="thin">
        <color rgb="FF000000"/>
      </top>
      <bottom style="thin">
        <color rgb="FF000000"/>
      </bottom>
      <diagonal/>
    </border>
    <border>
      <left/>
      <right/>
      <top/>
      <bottom style="medium">
        <color rgb="FF000000"/>
      </bottom>
      <diagonal/>
    </border>
    <border>
      <left/>
      <right/>
      <top style="medium">
        <color rgb="FF000000"/>
      </top>
      <bottom style="medium">
        <color indexed="64"/>
      </bottom>
      <diagonal/>
    </border>
    <border>
      <left/>
      <right style="medium">
        <color rgb="FF000000"/>
      </right>
      <top style="medium">
        <color rgb="FF000000"/>
      </top>
      <bottom style="medium">
        <color indexed="64"/>
      </bottom>
      <diagonal/>
    </border>
    <border>
      <left/>
      <right style="medium">
        <color rgb="FF000000"/>
      </right>
      <top/>
      <bottom/>
      <diagonal/>
    </border>
    <border>
      <left/>
      <right style="medium">
        <color rgb="FF000000"/>
      </right>
      <top/>
      <bottom style="medium">
        <color rgb="FF000000"/>
      </bottom>
      <diagonal/>
    </border>
    <border>
      <left style="medium">
        <color rgb="FF000000"/>
      </left>
      <right style="medium">
        <color rgb="FF000000"/>
      </right>
      <top style="medium">
        <color rgb="FF000000"/>
      </top>
      <bottom style="medium">
        <color indexed="64"/>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top style="medium">
        <color rgb="FF000000"/>
      </top>
      <bottom style="medium">
        <color indexed="64"/>
      </bottom>
      <diagonal/>
    </border>
    <border>
      <left style="medium">
        <color rgb="FF000000"/>
      </left>
      <right/>
      <top/>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top style="thin">
        <color theme="4"/>
      </top>
      <bottom style="thin">
        <color theme="4"/>
      </bottom>
      <diagonal/>
    </border>
    <border>
      <left/>
      <right style="thin">
        <color theme="4"/>
      </right>
      <top style="thin">
        <color theme="4"/>
      </top>
      <bottom/>
      <diagonal/>
    </border>
    <border>
      <left/>
      <right/>
      <top style="thin">
        <color rgb="FF4472C4"/>
      </top>
      <bottom/>
      <diagonal/>
    </border>
    <border>
      <left/>
      <right/>
      <top style="thin">
        <color rgb="FF4472C4"/>
      </top>
      <bottom style="thin">
        <color rgb="FF4472C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rgb="FF0000FF"/>
      </left>
      <right/>
      <top style="medium">
        <color rgb="FF0000FF"/>
      </top>
      <bottom style="medium">
        <color rgb="FF0000CC"/>
      </bottom>
      <diagonal/>
    </border>
    <border>
      <left/>
      <right/>
      <top style="medium">
        <color rgb="FF0000FF"/>
      </top>
      <bottom style="medium">
        <color rgb="FF0000CC"/>
      </bottom>
      <diagonal/>
    </border>
    <border>
      <left/>
      <right style="medium">
        <color rgb="FF0000FF"/>
      </right>
      <top style="medium">
        <color rgb="FF0000FF"/>
      </top>
      <bottom style="medium">
        <color rgb="FF0000CC"/>
      </bottom>
      <diagonal/>
    </border>
    <border>
      <left style="medium">
        <color rgb="FF0000FF"/>
      </left>
      <right/>
      <top style="medium">
        <color rgb="FF0000CC"/>
      </top>
      <bottom style="medium">
        <color rgb="FF0000FF"/>
      </bottom>
      <diagonal/>
    </border>
    <border>
      <left/>
      <right/>
      <top/>
      <bottom style="medium">
        <color rgb="FF0000FF"/>
      </bottom>
      <diagonal/>
    </border>
    <border>
      <left/>
      <right style="medium">
        <color rgb="FF0000FF"/>
      </right>
      <top/>
      <bottom style="medium">
        <color rgb="FF0000FF"/>
      </bottom>
      <diagonal/>
    </border>
    <border>
      <left style="medium">
        <color rgb="FF0000CC"/>
      </left>
      <right/>
      <top style="medium">
        <color rgb="FF0000FF"/>
      </top>
      <bottom style="medium">
        <color rgb="FF0000CC"/>
      </bottom>
      <diagonal/>
    </border>
    <border>
      <left style="medium">
        <color rgb="FF0000CC"/>
      </left>
      <right style="medium">
        <color rgb="FF0000FF"/>
      </right>
      <top style="medium">
        <color rgb="FF0000FF"/>
      </top>
      <bottom style="medium">
        <color rgb="FF0000CC"/>
      </bottom>
      <diagonal/>
    </border>
    <border>
      <left style="medium">
        <color rgb="FF0000FF"/>
      </left>
      <right style="thin">
        <color rgb="FF0000FF"/>
      </right>
      <top style="thin">
        <color rgb="FF0000FF"/>
      </top>
      <bottom style="medium">
        <color rgb="FF0000FF"/>
      </bottom>
      <diagonal/>
    </border>
    <border>
      <left style="thin">
        <color rgb="FF0000FF"/>
      </left>
      <right style="thin">
        <color rgb="FF0000FF"/>
      </right>
      <top style="thin">
        <color rgb="FF0000FF"/>
      </top>
      <bottom style="medium">
        <color rgb="FF0000FF"/>
      </bottom>
      <diagonal/>
    </border>
    <border>
      <left style="thin">
        <color rgb="FF0000FF"/>
      </left>
      <right style="medium">
        <color rgb="FF0000FF"/>
      </right>
      <top style="thin">
        <color rgb="FF0000FF"/>
      </top>
      <bottom style="medium">
        <color rgb="FF0000FF"/>
      </bottom>
      <diagonal/>
    </border>
    <border>
      <left style="medium">
        <color rgb="FF0000FF"/>
      </left>
      <right style="thin">
        <color rgb="FF0000FF"/>
      </right>
      <top style="thin">
        <color rgb="FF0000FF"/>
      </top>
      <bottom style="thin">
        <color rgb="FF0000FF"/>
      </bottom>
      <diagonal/>
    </border>
    <border>
      <left style="thin">
        <color rgb="FF0000FF"/>
      </left>
      <right style="medium">
        <color rgb="FF0000FF"/>
      </right>
      <top style="thin">
        <color rgb="FF0000FF"/>
      </top>
      <bottom style="thin">
        <color rgb="FF0000FF"/>
      </bottom>
      <diagonal/>
    </border>
    <border>
      <left style="thin">
        <color indexed="64"/>
      </left>
      <right style="thin">
        <color indexed="64"/>
      </right>
      <top/>
      <bottom style="thin">
        <color indexed="64"/>
      </bottom>
      <diagonal/>
    </border>
    <border>
      <left/>
      <right style="thin">
        <color rgb="FF4472C4"/>
      </right>
      <top style="thin">
        <color rgb="FF4472C4"/>
      </top>
      <bottom/>
      <diagonal/>
    </border>
  </borders>
  <cellStyleXfs count="7">
    <xf numFmtId="0" fontId="0" fillId="0" borderId="0"/>
    <xf numFmtId="44" fontId="3" fillId="0" borderId="0" applyFont="0" applyFill="0" applyBorder="0" applyAlignment="0" applyProtection="0"/>
    <xf numFmtId="0" fontId="5" fillId="2" borderId="0" applyNumberFormat="0" applyBorder="0" applyAlignment="0" applyProtection="0"/>
    <xf numFmtId="44" fontId="3" fillId="0" borderId="0" applyFont="0" applyFill="0" applyBorder="0" applyAlignment="0" applyProtection="0"/>
    <xf numFmtId="0" fontId="20" fillId="6" borderId="0" applyNumberFormat="0" applyBorder="0" applyAlignment="0" applyProtection="0"/>
    <xf numFmtId="0" fontId="1" fillId="0" borderId="0" applyNumberFormat="0" applyFill="0" applyBorder="0" applyAlignment="0" applyProtection="0"/>
    <xf numFmtId="9" fontId="3" fillId="0" borderId="0" applyFont="0" applyFill="0" applyBorder="0" applyAlignment="0" applyProtection="0"/>
  </cellStyleXfs>
  <cellXfs count="297">
    <xf numFmtId="0" fontId="0" fillId="0" borderId="0" xfId="0"/>
    <xf numFmtId="14" fontId="0" fillId="0" borderId="0" xfId="0" applyNumberFormat="1"/>
    <xf numFmtId="14" fontId="1" fillId="0" borderId="0" xfId="5" applyNumberFormat="1"/>
    <xf numFmtId="0" fontId="0" fillId="0" borderId="0" xfId="0" applyAlignment="1">
      <alignment horizontal="center" vertical="center" wrapText="1"/>
    </xf>
    <xf numFmtId="1" fontId="0" fillId="0" borderId="0" xfId="0" applyNumberFormat="1"/>
    <xf numFmtId="0" fontId="0" fillId="0" borderId="0" xfId="0" applyAlignment="1">
      <alignment horizontal="center" vertical="center"/>
    </xf>
    <xf numFmtId="0" fontId="0" fillId="0" borderId="0" xfId="0" applyAlignment="1">
      <alignment wrapText="1"/>
    </xf>
    <xf numFmtId="164" fontId="0" fillId="0" borderId="0" xfId="0" applyNumberFormat="1"/>
    <xf numFmtId="164" fontId="0" fillId="0" borderId="0" xfId="0" applyNumberFormat="1" applyAlignment="1">
      <alignment horizontal="right"/>
    </xf>
    <xf numFmtId="0" fontId="2" fillId="0" borderId="0" xfId="0" applyFont="1"/>
    <xf numFmtId="44" fontId="0" fillId="0" borderId="0" xfId="0" applyNumberFormat="1"/>
    <xf numFmtId="14" fontId="0" fillId="0" borderId="0" xfId="0" applyNumberFormat="1" applyAlignment="1">
      <alignment horizontal="right"/>
    </xf>
    <xf numFmtId="44" fontId="0" fillId="0" borderId="0" xfId="1" applyFont="1" applyFill="1"/>
    <xf numFmtId="44" fontId="2" fillId="0" borderId="0" xfId="1" applyFont="1" applyFill="1"/>
    <xf numFmtId="44" fontId="0" fillId="0" borderId="0" xfId="1" applyFont="1"/>
    <xf numFmtId="0" fontId="2" fillId="0" borderId="0" xfId="0" applyFont="1" applyAlignment="1">
      <alignment horizontal="center" vertical="center"/>
    </xf>
    <xf numFmtId="44" fontId="0" fillId="0" borderId="0" xfId="0" applyNumberFormat="1" applyAlignment="1">
      <alignment horizontal="center" vertical="center"/>
    </xf>
    <xf numFmtId="1" fontId="0" fillId="0" borderId="0" xfId="0" applyNumberFormat="1" applyAlignment="1">
      <alignment horizontal="center" vertical="center"/>
    </xf>
    <xf numFmtId="0" fontId="0" fillId="0" borderId="0" xfId="0" applyAlignment="1">
      <alignment vertical="center"/>
    </xf>
    <xf numFmtId="1" fontId="0" fillId="0" borderId="0" xfId="0" applyNumberFormat="1" applyAlignment="1">
      <alignment horizontal="right" vertical="center"/>
    </xf>
    <xf numFmtId="1" fontId="0" fillId="0" borderId="0" xfId="0" applyNumberFormat="1" applyAlignment="1">
      <alignment horizontal="right"/>
    </xf>
    <xf numFmtId="1" fontId="2" fillId="0" borderId="0" xfId="0" applyNumberFormat="1" applyFont="1" applyAlignment="1">
      <alignment horizontal="right" vertical="center"/>
    </xf>
    <xf numFmtId="49" fontId="0" fillId="0" borderId="0" xfId="0" quotePrefix="1" applyNumberFormat="1" applyAlignment="1">
      <alignment horizontal="right"/>
    </xf>
    <xf numFmtId="0" fontId="0" fillId="0" borderId="1" xfId="0" applyBorder="1"/>
    <xf numFmtId="14" fontId="0" fillId="0" borderId="1" xfId="0" applyNumberFormat="1" applyBorder="1"/>
    <xf numFmtId="0" fontId="4" fillId="0" borderId="1" xfId="0" applyFont="1" applyBorder="1" applyAlignment="1">
      <alignment horizontal="center" vertical="center"/>
    </xf>
    <xf numFmtId="0" fontId="3" fillId="0" borderId="0" xfId="2" applyFont="1" applyFill="1"/>
    <xf numFmtId="165" fontId="0" fillId="0" borderId="0" xfId="0" applyNumberFormat="1"/>
    <xf numFmtId="166" fontId="0" fillId="0" borderId="0" xfId="0" applyNumberFormat="1"/>
    <xf numFmtId="1" fontId="2" fillId="0" borderId="0" xfId="2" applyNumberFormat="1" applyFont="1" applyFill="1" applyAlignment="1">
      <alignment horizontal="right" vertical="center"/>
    </xf>
    <xf numFmtId="0" fontId="2" fillId="0" borderId="0" xfId="2" applyFont="1" applyFill="1"/>
    <xf numFmtId="0" fontId="4" fillId="0" borderId="0" xfId="0" applyFont="1"/>
    <xf numFmtId="44" fontId="4" fillId="0" borderId="0" xfId="1" applyFont="1"/>
    <xf numFmtId="0" fontId="0" fillId="3" borderId="0" xfId="0" applyFill="1"/>
    <xf numFmtId="0" fontId="0" fillId="3" borderId="0" xfId="0" applyFill="1" applyAlignment="1">
      <alignment horizontal="center" vertical="center"/>
    </xf>
    <xf numFmtId="0" fontId="0" fillId="3" borderId="0" xfId="0" applyFill="1" applyAlignment="1">
      <alignment wrapText="1"/>
    </xf>
    <xf numFmtId="1" fontId="3" fillId="0" borderId="0" xfId="2" applyNumberFormat="1" applyFont="1" applyFill="1" applyAlignment="1">
      <alignment horizontal="right" vertical="center"/>
    </xf>
    <xf numFmtId="6" fontId="0" fillId="0" borderId="0" xfId="0" applyNumberFormat="1"/>
    <xf numFmtId="1" fontId="0" fillId="3" borderId="0" xfId="0" applyNumberFormat="1" applyFill="1" applyAlignment="1">
      <alignment horizontal="right" vertical="center"/>
    </xf>
    <xf numFmtId="164" fontId="0" fillId="3" borderId="0" xfId="0" applyNumberFormat="1" applyFill="1"/>
    <xf numFmtId="44" fontId="0" fillId="3" borderId="0" xfId="1" applyFont="1" applyFill="1"/>
    <xf numFmtId="44" fontId="0" fillId="3" borderId="0" xfId="0" applyNumberFormat="1" applyFill="1"/>
    <xf numFmtId="1" fontId="0" fillId="0" borderId="0" xfId="0" applyNumberFormat="1" applyAlignment="1">
      <alignment horizontal="right" vertical="center" wrapText="1"/>
    </xf>
    <xf numFmtId="14" fontId="0" fillId="0" borderId="0" xfId="0" applyNumberFormat="1" applyAlignment="1">
      <alignment vertical="center"/>
    </xf>
    <xf numFmtId="0" fontId="8" fillId="0" borderId="0" xfId="0" applyFont="1" applyAlignment="1">
      <alignment vertical="center"/>
    </xf>
    <xf numFmtId="14" fontId="8" fillId="0" borderId="0" xfId="0" applyNumberFormat="1" applyFont="1" applyAlignment="1">
      <alignment vertical="center"/>
    </xf>
    <xf numFmtId="0" fontId="6" fillId="0" borderId="0" xfId="0" applyFont="1" applyAlignment="1">
      <alignment vertical="center"/>
    </xf>
    <xf numFmtId="0" fontId="7" fillId="0" borderId="0" xfId="5" applyFont="1" applyBorder="1" applyAlignment="1">
      <alignment vertical="center"/>
    </xf>
    <xf numFmtId="14" fontId="6" fillId="0" borderId="0" xfId="0" applyNumberFormat="1" applyFont="1" applyAlignment="1">
      <alignment vertical="center"/>
    </xf>
    <xf numFmtId="0" fontId="6" fillId="0" borderId="0" xfId="0" applyFont="1" applyAlignment="1">
      <alignment horizontal="right" vertical="center"/>
    </xf>
    <xf numFmtId="49" fontId="6" fillId="0" borderId="0" xfId="0" applyNumberFormat="1" applyFont="1" applyAlignment="1">
      <alignment horizontal="right" vertical="center"/>
    </xf>
    <xf numFmtId="0" fontId="10" fillId="0" borderId="0" xfId="0" applyFont="1" applyAlignment="1">
      <alignment vertical="center"/>
    </xf>
    <xf numFmtId="0" fontId="10" fillId="0" borderId="0" xfId="0" applyFont="1" applyAlignment="1">
      <alignment horizontal="right" vertical="center"/>
    </xf>
    <xf numFmtId="0" fontId="11" fillId="0" borderId="0" xfId="0" applyFont="1" applyAlignment="1">
      <alignment vertical="center"/>
    </xf>
    <xf numFmtId="0" fontId="8" fillId="0" borderId="0" xfId="0" applyFont="1" applyAlignment="1">
      <alignment horizontal="center" vertical="center"/>
    </xf>
    <xf numFmtId="14" fontId="8" fillId="0" borderId="0" xfId="0" applyNumberFormat="1" applyFont="1" applyAlignment="1">
      <alignment horizontal="center" vertical="center"/>
    </xf>
    <xf numFmtId="0" fontId="7" fillId="0" borderId="0" xfId="5" applyFont="1" applyAlignment="1">
      <alignment vertical="center"/>
    </xf>
    <xf numFmtId="0" fontId="0" fillId="0" borderId="0" xfId="0" applyAlignment="1">
      <alignment horizontal="left" vertical="center"/>
    </xf>
    <xf numFmtId="0" fontId="0" fillId="0" borderId="3" xfId="0" applyBorder="1" applyAlignment="1">
      <alignment vertical="center"/>
    </xf>
    <xf numFmtId="0" fontId="9" fillId="0" borderId="4" xfId="0" applyFont="1" applyBorder="1" applyAlignment="1">
      <alignment vertical="center"/>
    </xf>
    <xf numFmtId="0" fontId="0" fillId="0" borderId="4" xfId="0" applyBorder="1" applyAlignment="1">
      <alignment vertical="center"/>
    </xf>
    <xf numFmtId="0" fontId="0" fillId="0" borderId="5" xfId="0" applyBorder="1" applyAlignment="1">
      <alignment vertical="center"/>
    </xf>
    <xf numFmtId="0" fontId="9" fillId="0" borderId="0" xfId="0" applyFont="1" applyAlignment="1">
      <alignment vertical="center"/>
    </xf>
    <xf numFmtId="0" fontId="0" fillId="0" borderId="6" xfId="0" applyBorder="1" applyAlignment="1">
      <alignment horizontal="center" vertical="center"/>
    </xf>
    <xf numFmtId="14" fontId="6" fillId="0" borderId="2" xfId="0" applyNumberFormat="1" applyFont="1" applyBorder="1" applyAlignment="1">
      <alignment vertical="center"/>
    </xf>
    <xf numFmtId="0" fontId="4" fillId="0" borderId="0" xfId="0" applyFont="1" applyAlignment="1">
      <alignment horizontal="center" vertical="center"/>
    </xf>
    <xf numFmtId="14" fontId="6" fillId="0" borderId="0" xfId="0" applyNumberFormat="1" applyFont="1" applyAlignment="1">
      <alignment vertical="center" wrapText="1"/>
    </xf>
    <xf numFmtId="0" fontId="12" fillId="0" borderId="0" xfId="0" applyFont="1" applyAlignment="1">
      <alignment horizontal="left" vertical="center"/>
    </xf>
    <xf numFmtId="0" fontId="4" fillId="0" borderId="0" xfId="0" applyFont="1" applyAlignment="1">
      <alignment horizontal="left" vertical="center"/>
    </xf>
    <xf numFmtId="0" fontId="4" fillId="0" borderId="1" xfId="0" applyFont="1" applyBorder="1"/>
    <xf numFmtId="167" fontId="0" fillId="0" borderId="1" xfId="0" applyNumberFormat="1" applyBorder="1"/>
    <xf numFmtId="0" fontId="13" fillId="0" borderId="0" xfId="0" applyFont="1"/>
    <xf numFmtId="49" fontId="6" fillId="0" borderId="0" xfId="0" applyNumberFormat="1" applyFont="1" applyAlignment="1">
      <alignment vertical="center"/>
    </xf>
    <xf numFmtId="49" fontId="6" fillId="0" borderId="0" xfId="0" applyNumberFormat="1" applyFont="1" applyAlignment="1">
      <alignment vertical="center" wrapText="1"/>
    </xf>
    <xf numFmtId="14" fontId="7" fillId="0" borderId="0" xfId="5" applyNumberFormat="1" applyFont="1" applyAlignment="1">
      <alignment vertical="center"/>
    </xf>
    <xf numFmtId="14" fontId="6" fillId="0" borderId="0" xfId="0" applyNumberFormat="1" applyFont="1" applyAlignment="1">
      <alignment horizontal="center" vertical="center"/>
    </xf>
    <xf numFmtId="14" fontId="0" fillId="0" borderId="0" xfId="0" applyNumberFormat="1" applyAlignment="1">
      <alignment horizontal="center" vertical="center"/>
    </xf>
    <xf numFmtId="14" fontId="8" fillId="0" borderId="0" xfId="0" applyNumberFormat="1" applyFont="1" applyAlignment="1">
      <alignment horizontal="left" vertical="center"/>
    </xf>
    <xf numFmtId="0" fontId="7" fillId="0" borderId="0" xfId="0" applyFont="1" applyAlignment="1">
      <alignment vertical="center"/>
    </xf>
    <xf numFmtId="0" fontId="4" fillId="0" borderId="1" xfId="0" applyFont="1" applyBorder="1" applyAlignment="1">
      <alignment horizontal="center" vertical="center" wrapText="1"/>
    </xf>
    <xf numFmtId="0" fontId="0" fillId="0" borderId="1" xfId="0" applyBorder="1" applyAlignment="1">
      <alignment vertical="center" wrapText="1"/>
    </xf>
    <xf numFmtId="0" fontId="0" fillId="0" borderId="1" xfId="0" applyBorder="1" applyAlignment="1">
      <alignment wrapText="1"/>
    </xf>
    <xf numFmtId="0" fontId="14" fillId="4" borderId="1" xfId="0" applyFont="1" applyFill="1" applyBorder="1" applyAlignment="1">
      <alignment horizontal="center" vertical="center"/>
    </xf>
    <xf numFmtId="14" fontId="16" fillId="0" borderId="1" xfId="0" applyNumberFormat="1" applyFont="1" applyBorder="1" applyAlignment="1">
      <alignment horizontal="center" vertical="center"/>
    </xf>
    <xf numFmtId="0" fontId="16" fillId="0" borderId="1" xfId="0" applyFont="1" applyBorder="1" applyAlignment="1">
      <alignment horizontal="center" vertical="center" wrapText="1"/>
    </xf>
    <xf numFmtId="0" fontId="0" fillId="0" borderId="0" xfId="0" applyAlignment="1">
      <alignment horizontal="right"/>
    </xf>
    <xf numFmtId="0" fontId="0" fillId="7" borderId="7" xfId="0" applyFill="1" applyBorder="1"/>
    <xf numFmtId="0" fontId="0" fillId="8" borderId="7" xfId="0" applyFill="1" applyBorder="1"/>
    <xf numFmtId="0" fontId="4" fillId="0" borderId="9" xfId="0" applyFont="1" applyBorder="1" applyAlignment="1">
      <alignment horizontal="left" vertical="center"/>
    </xf>
    <xf numFmtId="0" fontId="4" fillId="0" borderId="10" xfId="0" applyFont="1" applyBorder="1" applyAlignment="1">
      <alignment horizontal="left" vertical="center"/>
    </xf>
    <xf numFmtId="0" fontId="4" fillId="0" borderId="13" xfId="0" applyFont="1" applyBorder="1" applyAlignment="1">
      <alignment horizontal="left" vertical="center"/>
    </xf>
    <xf numFmtId="0" fontId="4" fillId="0" borderId="14" xfId="0" applyFont="1" applyBorder="1" applyAlignment="1">
      <alignment horizontal="left" vertical="center"/>
    </xf>
    <xf numFmtId="0" fontId="4" fillId="0" borderId="15" xfId="0" applyFont="1" applyBorder="1" applyAlignment="1">
      <alignment horizontal="left" vertical="center"/>
    </xf>
    <xf numFmtId="0" fontId="4" fillId="0" borderId="16" xfId="0" applyFont="1" applyBorder="1" applyAlignment="1">
      <alignment horizontal="left" vertical="center"/>
    </xf>
    <xf numFmtId="3" fontId="6" fillId="0" borderId="0" xfId="0" applyNumberFormat="1" applyFont="1" applyAlignment="1">
      <alignment vertical="center"/>
    </xf>
    <xf numFmtId="0" fontId="1" fillId="0" borderId="0" xfId="5" applyBorder="1" applyAlignment="1">
      <alignment horizontal="left" vertical="center"/>
    </xf>
    <xf numFmtId="0" fontId="0" fillId="0" borderId="11" xfId="0" applyBorder="1" applyAlignment="1">
      <alignment horizontal="left" vertical="center"/>
    </xf>
    <xf numFmtId="0" fontId="0" fillId="0" borderId="0" xfId="0" applyAlignment="1">
      <alignment horizontal="left" vertical="center" wrapText="1"/>
    </xf>
    <xf numFmtId="0" fontId="0" fillId="0" borderId="17" xfId="0" applyBorder="1" applyAlignment="1">
      <alignment horizontal="left" vertical="center"/>
    </xf>
    <xf numFmtId="0" fontId="0" fillId="0" borderId="8" xfId="0" applyBorder="1" applyAlignment="1">
      <alignment horizontal="left" vertical="center"/>
    </xf>
    <xf numFmtId="0" fontId="1" fillId="0" borderId="8" xfId="5" applyBorder="1" applyAlignment="1">
      <alignment horizontal="left" vertical="center"/>
    </xf>
    <xf numFmtId="0" fontId="0" fillId="0" borderId="12" xfId="0" applyBorder="1" applyAlignment="1">
      <alignment horizontal="left" vertical="center"/>
    </xf>
    <xf numFmtId="0" fontId="0" fillId="0" borderId="0" xfId="0" applyAlignment="1">
      <alignment horizontal="left"/>
    </xf>
    <xf numFmtId="0" fontId="1" fillId="0" borderId="0" xfId="5" applyBorder="1" applyAlignment="1">
      <alignment horizontal="left"/>
    </xf>
    <xf numFmtId="164" fontId="0" fillId="9" borderId="0" xfId="0" applyNumberFormat="1" applyFill="1"/>
    <xf numFmtId="164" fontId="0" fillId="0" borderId="0" xfId="0" applyNumberFormat="1" applyAlignment="1">
      <alignment wrapText="1"/>
    </xf>
    <xf numFmtId="0" fontId="0" fillId="0" borderId="0" xfId="0" applyAlignment="1">
      <alignment horizontal="right" wrapText="1"/>
    </xf>
    <xf numFmtId="0" fontId="11" fillId="0" borderId="0" xfId="0" applyFont="1" applyAlignment="1">
      <alignment vertical="center" wrapText="1"/>
    </xf>
    <xf numFmtId="0" fontId="0" fillId="0" borderId="0" xfId="0" applyAlignment="1">
      <alignment vertical="center" wrapText="1"/>
    </xf>
    <xf numFmtId="14" fontId="8" fillId="0" borderId="0" xfId="0" applyNumberFormat="1" applyFont="1" applyAlignment="1">
      <alignment horizontal="center" vertical="center" wrapText="1"/>
    </xf>
    <xf numFmtId="0" fontId="8" fillId="0" borderId="0" xfId="0" applyFont="1" applyAlignment="1">
      <alignment horizontal="center" vertical="center" wrapText="1"/>
    </xf>
    <xf numFmtId="14" fontId="0" fillId="0" borderId="0" xfId="0" applyNumberFormat="1" applyAlignment="1">
      <alignment vertical="center" wrapText="1"/>
    </xf>
    <xf numFmtId="0" fontId="4" fillId="0" borderId="0" xfId="0" applyFont="1" applyAlignment="1">
      <alignment vertical="center" wrapText="1"/>
    </xf>
    <xf numFmtId="0" fontId="14" fillId="4" borderId="18" xfId="0" applyFont="1" applyFill="1" applyBorder="1" applyAlignment="1">
      <alignment horizontal="center" vertical="center"/>
    </xf>
    <xf numFmtId="14" fontId="16" fillId="0" borderId="18" xfId="0" applyNumberFormat="1" applyFont="1" applyBorder="1" applyAlignment="1">
      <alignment horizontal="center" vertical="center"/>
    </xf>
    <xf numFmtId="15" fontId="15" fillId="5" borderId="1" xfId="0" applyNumberFormat="1" applyFont="1" applyFill="1" applyBorder="1" applyAlignment="1">
      <alignment horizontal="center" vertical="center"/>
    </xf>
    <xf numFmtId="0" fontId="0" fillId="0" borderId="21" xfId="0" applyBorder="1"/>
    <xf numFmtId="0" fontId="0" fillId="0" borderId="22" xfId="0" applyBorder="1"/>
    <xf numFmtId="15" fontId="15" fillId="5" borderId="21" xfId="0" applyNumberFormat="1" applyFont="1" applyFill="1" applyBorder="1" applyAlignment="1">
      <alignment horizontal="center" vertical="center"/>
    </xf>
    <xf numFmtId="15" fontId="15" fillId="5" borderId="22" xfId="0" applyNumberFormat="1" applyFont="1" applyFill="1" applyBorder="1" applyAlignment="1">
      <alignment horizontal="center" vertical="center"/>
    </xf>
    <xf numFmtId="0" fontId="0" fillId="0" borderId="23" xfId="0" applyBorder="1"/>
    <xf numFmtId="0" fontId="0" fillId="0" borderId="24" xfId="0" applyBorder="1"/>
    <xf numFmtId="0" fontId="0" fillId="0" borderId="26" xfId="0" applyBorder="1"/>
    <xf numFmtId="0" fontId="0" fillId="0" borderId="27" xfId="0" applyBorder="1"/>
    <xf numFmtId="0" fontId="0" fillId="0" borderId="28" xfId="0" applyBorder="1"/>
    <xf numFmtId="15" fontId="15" fillId="5" borderId="28" xfId="0" applyNumberFormat="1" applyFont="1" applyFill="1" applyBorder="1" applyAlignment="1">
      <alignment horizontal="center" vertical="center"/>
    </xf>
    <xf numFmtId="0" fontId="0" fillId="0" borderId="29" xfId="0" applyBorder="1"/>
    <xf numFmtId="0" fontId="20" fillId="6" borderId="26" xfId="4" applyBorder="1"/>
    <xf numFmtId="0" fontId="20" fillId="6" borderId="24" xfId="4" applyBorder="1"/>
    <xf numFmtId="0" fontId="6" fillId="0" borderId="2" xfId="0" applyFont="1" applyBorder="1" applyAlignment="1">
      <alignment vertical="center"/>
    </xf>
    <xf numFmtId="0" fontId="0" fillId="0" borderId="2" xfId="0" applyBorder="1" applyAlignment="1">
      <alignment horizontal="right"/>
    </xf>
    <xf numFmtId="0" fontId="6" fillId="0" borderId="2" xfId="0" applyFont="1" applyBorder="1" applyAlignment="1">
      <alignment horizontal="right"/>
    </xf>
    <xf numFmtId="0" fontId="1" fillId="0" borderId="0" xfId="5" applyBorder="1" applyAlignment="1">
      <alignment horizontal="left" vertical="center" wrapText="1"/>
    </xf>
    <xf numFmtId="0" fontId="1" fillId="0" borderId="0" xfId="5" applyAlignment="1">
      <alignment horizontal="left" vertical="center"/>
    </xf>
    <xf numFmtId="0" fontId="1" fillId="0" borderId="17" xfId="5" applyBorder="1" applyAlignment="1">
      <alignment horizontal="left" vertical="center"/>
    </xf>
    <xf numFmtId="0" fontId="6" fillId="0" borderId="30" xfId="0" applyFont="1" applyBorder="1" applyAlignment="1">
      <alignment vertical="center"/>
    </xf>
    <xf numFmtId="0" fontId="7" fillId="0" borderId="30" xfId="0" applyFont="1" applyBorder="1" applyAlignment="1">
      <alignment vertical="center"/>
    </xf>
    <xf numFmtId="14" fontId="6" fillId="0" borderId="30" xfId="0" applyNumberFormat="1" applyFont="1" applyBorder="1" applyAlignment="1">
      <alignment vertical="center"/>
    </xf>
    <xf numFmtId="14" fontId="6" fillId="0" borderId="31" xfId="0" applyNumberFormat="1" applyFont="1" applyBorder="1" applyAlignment="1">
      <alignment vertical="center"/>
    </xf>
    <xf numFmtId="0" fontId="0" fillId="3" borderId="1" xfId="0" applyFill="1" applyBorder="1"/>
    <xf numFmtId="0" fontId="6" fillId="10" borderId="0" xfId="0" applyFont="1" applyFill="1" applyAlignment="1">
      <alignment vertical="center"/>
    </xf>
    <xf numFmtId="0" fontId="0" fillId="0" borderId="0" xfId="0" applyAlignment="1">
      <alignment horizontal="center"/>
    </xf>
    <xf numFmtId="0" fontId="0" fillId="0" borderId="1" xfId="0" applyBorder="1" applyAlignment="1">
      <alignment horizontal="center"/>
    </xf>
    <xf numFmtId="0" fontId="0" fillId="0" borderId="35" xfId="0" applyBorder="1" applyAlignment="1">
      <alignment horizontal="center"/>
    </xf>
    <xf numFmtId="0" fontId="4" fillId="0" borderId="1" xfId="0" applyFont="1" applyBorder="1" applyAlignment="1">
      <alignment horizontal="center"/>
    </xf>
    <xf numFmtId="0" fontId="4" fillId="0" borderId="0" xfId="0" applyFont="1" applyAlignment="1">
      <alignment horizontal="center"/>
    </xf>
    <xf numFmtId="0" fontId="0" fillId="0" borderId="1" xfId="0" applyBorder="1" applyAlignment="1">
      <alignment horizontal="left"/>
    </xf>
    <xf numFmtId="0" fontId="25" fillId="11" borderId="34" xfId="0" applyFont="1" applyFill="1" applyBorder="1" applyAlignment="1">
      <alignment horizontal="center" vertical="center"/>
    </xf>
    <xf numFmtId="0" fontId="25" fillId="11" borderId="34" xfId="0" applyFont="1" applyFill="1" applyBorder="1" applyAlignment="1">
      <alignment horizontal="center" vertical="center" wrapText="1"/>
    </xf>
    <xf numFmtId="0" fontId="24" fillId="0" borderId="1" xfId="0" applyFont="1" applyBorder="1" applyAlignment="1">
      <alignment horizontal="center"/>
    </xf>
    <xf numFmtId="0" fontId="29" fillId="0" borderId="0" xfId="0" applyFont="1" applyAlignment="1">
      <alignment vertical="center"/>
    </xf>
    <xf numFmtId="0" fontId="7" fillId="0" borderId="30" xfId="5" applyFont="1" applyBorder="1" applyAlignment="1">
      <alignment vertical="center"/>
    </xf>
    <xf numFmtId="0" fontId="6" fillId="0" borderId="0" xfId="0" applyFont="1" applyAlignment="1">
      <alignment horizontal="center" vertical="center"/>
    </xf>
    <xf numFmtId="0" fontId="27" fillId="0" borderId="0" xfId="0" applyFont="1" applyAlignment="1">
      <alignment vertical="center"/>
    </xf>
    <xf numFmtId="0" fontId="28" fillId="0" borderId="0" xfId="0" applyFont="1" applyAlignment="1">
      <alignment vertical="center"/>
    </xf>
    <xf numFmtId="0" fontId="28" fillId="0" borderId="32" xfId="0" applyFont="1" applyBorder="1" applyAlignment="1">
      <alignment vertical="center"/>
    </xf>
    <xf numFmtId="0" fontId="28" fillId="0" borderId="33" xfId="0" applyFont="1" applyBorder="1" applyAlignment="1">
      <alignment vertical="center"/>
    </xf>
    <xf numFmtId="0" fontId="7" fillId="0" borderId="33" xfId="5" applyFont="1" applyBorder="1" applyAlignment="1">
      <alignment vertical="center"/>
    </xf>
    <xf numFmtId="14" fontId="28" fillId="0" borderId="32" xfId="0" applyNumberFormat="1" applyFont="1" applyBorder="1" applyAlignment="1">
      <alignment vertical="center"/>
    </xf>
    <xf numFmtId="0" fontId="1" fillId="0" borderId="30" xfId="5" applyBorder="1" applyAlignment="1">
      <alignment vertical="center"/>
    </xf>
    <xf numFmtId="0" fontId="1" fillId="0" borderId="0" xfId="5" applyAlignment="1">
      <alignment vertical="center"/>
    </xf>
    <xf numFmtId="0" fontId="4" fillId="0" borderId="0" xfId="0" applyFont="1" applyAlignment="1">
      <alignment vertical="center"/>
    </xf>
    <xf numFmtId="0" fontId="6" fillId="0" borderId="1" xfId="0" applyFont="1" applyBorder="1" applyAlignment="1">
      <alignment vertical="center"/>
    </xf>
    <xf numFmtId="14" fontId="6" fillId="0" borderId="1" xfId="0" applyNumberFormat="1" applyFont="1" applyBorder="1" applyAlignment="1">
      <alignment horizontal="center" vertical="center"/>
    </xf>
    <xf numFmtId="0" fontId="6" fillId="0" borderId="1" xfId="0" applyFont="1" applyBorder="1" applyAlignment="1">
      <alignment horizontal="center" vertical="center"/>
    </xf>
    <xf numFmtId="10" fontId="6" fillId="0" borderId="1" xfId="6" applyNumberFormat="1" applyFont="1" applyFill="1" applyBorder="1" applyAlignment="1">
      <alignment horizontal="center" vertical="center"/>
    </xf>
    <xf numFmtId="14" fontId="8" fillId="0" borderId="1" xfId="0" applyNumberFormat="1" applyFont="1" applyBorder="1" applyAlignment="1">
      <alignment horizontal="center" vertical="center"/>
    </xf>
    <xf numFmtId="10" fontId="6" fillId="0" borderId="1" xfId="6" applyNumberFormat="1" applyFont="1" applyBorder="1" applyAlignment="1">
      <alignment horizontal="center" vertical="center"/>
    </xf>
    <xf numFmtId="0" fontId="6" fillId="0" borderId="1" xfId="0" applyFont="1" applyBorder="1" applyAlignment="1">
      <alignment horizontal="center" vertical="center" wrapText="1"/>
    </xf>
    <xf numFmtId="10" fontId="30" fillId="0" borderId="1" xfId="6" applyNumberFormat="1" applyFont="1" applyBorder="1" applyAlignment="1">
      <alignment horizontal="center" vertical="center"/>
    </xf>
    <xf numFmtId="0" fontId="6" fillId="0" borderId="35" xfId="0" applyFont="1" applyBorder="1" applyAlignment="1">
      <alignment vertical="center"/>
    </xf>
    <xf numFmtId="0" fontId="6" fillId="0" borderId="35" xfId="0" applyFont="1" applyBorder="1" applyAlignment="1">
      <alignment horizontal="center" vertical="center"/>
    </xf>
    <xf numFmtId="0" fontId="0" fillId="0" borderId="44" xfId="0" applyBorder="1"/>
    <xf numFmtId="0" fontId="0" fillId="0" borderId="44" xfId="0" applyBorder="1" applyAlignment="1">
      <alignment horizontal="center"/>
    </xf>
    <xf numFmtId="0" fontId="0" fillId="0" borderId="45" xfId="0" applyBorder="1" applyAlignment="1">
      <alignment horizontal="center"/>
    </xf>
    <xf numFmtId="14" fontId="6" fillId="0" borderId="1" xfId="0" applyNumberFormat="1" applyFont="1" applyBorder="1" applyAlignment="1">
      <alignment horizontal="center" vertical="center" wrapText="1"/>
    </xf>
    <xf numFmtId="0" fontId="8" fillId="0" borderId="1" xfId="0" applyFont="1" applyBorder="1" applyAlignment="1">
      <alignment horizontal="center" vertical="center" wrapText="1"/>
    </xf>
    <xf numFmtId="0" fontId="6" fillId="0" borderId="1" xfId="0" applyFont="1" applyBorder="1" applyAlignment="1">
      <alignment vertical="center" wrapText="1"/>
    </xf>
    <xf numFmtId="0" fontId="24" fillId="0" borderId="1" xfId="0" applyFont="1" applyBorder="1" applyAlignment="1">
      <alignment horizontal="center" vertical="center" wrapText="1"/>
    </xf>
    <xf numFmtId="0" fontId="8" fillId="0" borderId="35" xfId="0" applyFont="1" applyBorder="1" applyAlignment="1">
      <alignment horizontal="center" vertical="center" wrapText="1"/>
    </xf>
    <xf numFmtId="0" fontId="6" fillId="0" borderId="35" xfId="0" applyFont="1" applyBorder="1" applyAlignment="1">
      <alignment vertical="center" wrapText="1"/>
    </xf>
    <xf numFmtId="0" fontId="6" fillId="0" borderId="35" xfId="0" applyFont="1" applyBorder="1" applyAlignment="1">
      <alignment horizontal="center" vertical="center" wrapText="1"/>
    </xf>
    <xf numFmtId="0" fontId="4" fillId="0" borderId="0" xfId="0" applyFont="1" applyAlignment="1">
      <alignment horizontal="center" vertical="center" wrapText="1"/>
    </xf>
    <xf numFmtId="0" fontId="31" fillId="11" borderId="34" xfId="0" applyFont="1" applyFill="1" applyBorder="1" applyAlignment="1">
      <alignment horizontal="center" vertical="center" wrapText="1"/>
    </xf>
    <xf numFmtId="0" fontId="19" fillId="0" borderId="0" xfId="0" applyFont="1" applyAlignment="1">
      <alignment horizontal="center" vertical="center" wrapText="1"/>
    </xf>
    <xf numFmtId="0" fontId="19" fillId="8" borderId="0" xfId="0" applyFont="1" applyFill="1" applyAlignment="1">
      <alignment horizontal="center" vertical="center" wrapText="1"/>
    </xf>
    <xf numFmtId="14" fontId="0" fillId="8" borderId="0" xfId="0" applyNumberFormat="1" applyFill="1" applyAlignment="1">
      <alignment vertical="center" wrapText="1"/>
    </xf>
    <xf numFmtId="14" fontId="32" fillId="0" borderId="1" xfId="0" applyNumberFormat="1" applyFont="1" applyBorder="1" applyAlignment="1">
      <alignment horizontal="center" vertical="center" wrapText="1"/>
    </xf>
    <xf numFmtId="0" fontId="32" fillId="0" borderId="0" xfId="0" applyFont="1" applyAlignment="1">
      <alignment horizontal="center" vertical="center" wrapText="1"/>
    </xf>
    <xf numFmtId="14" fontId="33" fillId="0" borderId="1" xfId="0" applyNumberFormat="1" applyFont="1" applyBorder="1" applyAlignment="1">
      <alignment horizontal="center" vertical="center" wrapText="1"/>
    </xf>
    <xf numFmtId="0" fontId="32" fillId="0" borderId="0" xfId="0" applyFont="1" applyAlignment="1">
      <alignment horizontal="left" vertical="center" wrapText="1"/>
    </xf>
    <xf numFmtId="0" fontId="0" fillId="0" borderId="6" xfId="0" applyBorder="1"/>
    <xf numFmtId="0" fontId="0" fillId="13" borderId="0" xfId="0" applyFill="1"/>
    <xf numFmtId="0" fontId="0" fillId="0" borderId="54" xfId="0" applyBorder="1"/>
    <xf numFmtId="0" fontId="0" fillId="0" borderId="55" xfId="0" applyBorder="1"/>
    <xf numFmtId="0" fontId="0" fillId="0" borderId="56" xfId="0" applyBorder="1"/>
    <xf numFmtId="14" fontId="35" fillId="0" borderId="57" xfId="0" applyNumberFormat="1" applyFont="1" applyBorder="1"/>
    <xf numFmtId="0" fontId="0" fillId="0" borderId="58" xfId="0" applyBorder="1"/>
    <xf numFmtId="14" fontId="35" fillId="0" borderId="54" xfId="0" applyNumberFormat="1" applyFont="1" applyBorder="1"/>
    <xf numFmtId="0" fontId="22" fillId="0" borderId="46" xfId="0" applyFont="1" applyBorder="1"/>
    <xf numFmtId="0" fontId="22" fillId="0" borderId="47" xfId="0" applyFont="1" applyBorder="1"/>
    <xf numFmtId="0" fontId="22" fillId="0" borderId="48" xfId="0" applyFont="1" applyBorder="1"/>
    <xf numFmtId="0" fontId="23" fillId="0" borderId="49" xfId="0" applyFont="1" applyBorder="1"/>
    <xf numFmtId="0" fontId="23" fillId="0" borderId="50" xfId="0" applyFont="1" applyBorder="1"/>
    <xf numFmtId="14" fontId="23" fillId="0" borderId="50" xfId="0" applyNumberFormat="1" applyFont="1" applyBorder="1"/>
    <xf numFmtId="14" fontId="23" fillId="0" borderId="51" xfId="0" applyNumberFormat="1" applyFont="1" applyBorder="1"/>
    <xf numFmtId="0" fontId="34" fillId="0" borderId="46" xfId="0" applyFont="1" applyBorder="1"/>
    <xf numFmtId="0" fontId="34" fillId="0" borderId="52" xfId="0" applyFont="1" applyBorder="1"/>
    <xf numFmtId="0" fontId="34" fillId="0" borderId="53" xfId="0" applyFont="1" applyBorder="1"/>
    <xf numFmtId="0" fontId="25" fillId="0" borderId="1" xfId="0" applyFont="1" applyBorder="1" applyAlignment="1">
      <alignment horizontal="center"/>
    </xf>
    <xf numFmtId="0" fontId="25" fillId="0" borderId="35" xfId="0" applyFont="1" applyBorder="1" applyAlignment="1">
      <alignment horizontal="center"/>
    </xf>
    <xf numFmtId="0" fontId="28" fillId="0" borderId="32" xfId="0" applyFont="1" applyBorder="1" applyAlignment="1">
      <alignment horizontal="center" vertical="center"/>
    </xf>
    <xf numFmtId="0" fontId="24" fillId="14" borderId="1" xfId="0" applyFont="1" applyFill="1" applyBorder="1" applyAlignment="1">
      <alignment horizontal="center"/>
    </xf>
    <xf numFmtId="0" fontId="25" fillId="11" borderId="43" xfId="0" applyFont="1" applyFill="1" applyBorder="1" applyAlignment="1">
      <alignment horizontal="center" vertical="center"/>
    </xf>
    <xf numFmtId="0" fontId="25" fillId="11" borderId="59" xfId="0" applyFont="1" applyFill="1" applyBorder="1" applyAlignment="1">
      <alignment horizontal="center" vertical="center" wrapText="1"/>
    </xf>
    <xf numFmtId="0" fontId="25" fillId="11" borderId="41" xfId="0" applyFont="1" applyFill="1" applyBorder="1" applyAlignment="1">
      <alignment horizontal="center" vertical="center" wrapText="1"/>
    </xf>
    <xf numFmtId="0" fontId="8" fillId="0" borderId="45" xfId="0" applyFont="1" applyBorder="1" applyAlignment="1">
      <alignment horizontal="center" vertical="center"/>
    </xf>
    <xf numFmtId="0" fontId="8" fillId="0" borderId="38" xfId="0" applyFont="1" applyBorder="1" applyAlignment="1">
      <alignment horizontal="center" vertical="center"/>
    </xf>
    <xf numFmtId="10" fontId="30" fillId="0" borderId="35" xfId="6" applyNumberFormat="1" applyFont="1" applyBorder="1" applyAlignment="1">
      <alignment horizontal="center" vertical="center"/>
    </xf>
    <xf numFmtId="14" fontId="8" fillId="0" borderId="35" xfId="0" applyNumberFormat="1" applyFont="1" applyBorder="1" applyAlignment="1">
      <alignment horizontal="center" vertical="center"/>
    </xf>
    <xf numFmtId="0" fontId="8" fillId="0" borderId="18" xfId="0" applyFont="1" applyBorder="1" applyAlignment="1">
      <alignment horizontal="center" vertical="center"/>
    </xf>
    <xf numFmtId="0" fontId="8" fillId="0" borderId="37" xfId="0" applyFont="1" applyBorder="1" applyAlignment="1">
      <alignment horizontal="center" vertical="center"/>
    </xf>
    <xf numFmtId="0" fontId="6" fillId="0" borderId="0" xfId="0" applyFont="1" applyAlignment="1">
      <alignment horizontal="center"/>
    </xf>
    <xf numFmtId="0" fontId="1" fillId="0" borderId="0" xfId="5" applyAlignment="1">
      <alignment horizontal="left"/>
    </xf>
    <xf numFmtId="0" fontId="6" fillId="0" borderId="18" xfId="0" applyFont="1" applyBorder="1" applyAlignment="1">
      <alignment horizontal="center" vertical="center"/>
    </xf>
    <xf numFmtId="0" fontId="6" fillId="0" borderId="41" xfId="0" applyFont="1" applyBorder="1" applyAlignment="1">
      <alignment horizontal="center" vertical="center"/>
    </xf>
    <xf numFmtId="0" fontId="6" fillId="0" borderId="37" xfId="0" applyFont="1" applyBorder="1" applyAlignment="1">
      <alignment horizontal="center" vertical="center"/>
    </xf>
    <xf numFmtId="44" fontId="6" fillId="0" borderId="41" xfId="1" applyFont="1" applyBorder="1" applyAlignment="1">
      <alignment horizontal="center" vertical="center"/>
    </xf>
    <xf numFmtId="44" fontId="6" fillId="0" borderId="18" xfId="1" applyFont="1" applyBorder="1" applyAlignment="1">
      <alignment horizontal="center" vertical="center"/>
    </xf>
    <xf numFmtId="44" fontId="6" fillId="0" borderId="37" xfId="1" applyFont="1" applyBorder="1" applyAlignment="1">
      <alignment horizontal="center" vertical="center"/>
    </xf>
    <xf numFmtId="44" fontId="4" fillId="0" borderId="0" xfId="0" applyNumberFormat="1" applyFont="1" applyAlignment="1">
      <alignment vertical="center"/>
    </xf>
    <xf numFmtId="10" fontId="30" fillId="0" borderId="1" xfId="6" applyNumberFormat="1" applyFont="1" applyBorder="1" applyAlignment="1">
      <alignment horizontal="center" vertical="center" wrapText="1"/>
    </xf>
    <xf numFmtId="0" fontId="24" fillId="15" borderId="1" xfId="0" applyFont="1" applyFill="1" applyBorder="1" applyAlignment="1">
      <alignment horizontal="center"/>
    </xf>
    <xf numFmtId="0" fontId="6" fillId="0" borderId="0" xfId="0" applyFont="1" applyAlignment="1">
      <alignment horizontal="center" vertical="center" wrapText="1"/>
    </xf>
    <xf numFmtId="0" fontId="6" fillId="0" borderId="30" xfId="0" applyFont="1" applyBorder="1" applyAlignment="1">
      <alignment horizontal="center" vertical="center"/>
    </xf>
    <xf numFmtId="0" fontId="30" fillId="0" borderId="0" xfId="0" applyFont="1" applyAlignment="1">
      <alignment horizontal="center" vertical="center"/>
    </xf>
    <xf numFmtId="3" fontId="30" fillId="12" borderId="0" xfId="0" applyNumberFormat="1" applyFont="1" applyFill="1" applyAlignment="1">
      <alignment horizontal="center" vertical="center" wrapText="1"/>
    </xf>
    <xf numFmtId="14" fontId="28" fillId="0" borderId="60" xfId="0" applyNumberFormat="1" applyFont="1" applyBorder="1" applyAlignment="1">
      <alignment vertical="center"/>
    </xf>
    <xf numFmtId="0" fontId="24" fillId="16" borderId="1" xfId="0" applyFont="1" applyFill="1" applyBorder="1" applyAlignment="1">
      <alignment horizontal="center"/>
    </xf>
    <xf numFmtId="0" fontId="24" fillId="10" borderId="1" xfId="0" applyFont="1" applyFill="1" applyBorder="1" applyAlignment="1">
      <alignment horizontal="center"/>
    </xf>
    <xf numFmtId="0" fontId="1" fillId="0" borderId="0" xfId="5" applyBorder="1" applyAlignment="1">
      <alignment vertical="center"/>
    </xf>
    <xf numFmtId="0" fontId="6" fillId="0" borderId="0" xfId="0" applyFont="1"/>
    <xf numFmtId="0" fontId="4" fillId="0" borderId="35" xfId="0" applyFont="1" applyBorder="1" applyAlignment="1">
      <alignment horizontal="center"/>
    </xf>
    <xf numFmtId="0" fontId="0" fillId="0" borderId="35" xfId="0" applyBorder="1"/>
    <xf numFmtId="0" fontId="0" fillId="0" borderId="35" xfId="0" applyBorder="1" applyAlignment="1">
      <alignment horizontal="left"/>
    </xf>
    <xf numFmtId="0" fontId="24" fillId="0" borderId="35" xfId="0" applyFont="1" applyBorder="1" applyAlignment="1">
      <alignment horizontal="center"/>
    </xf>
    <xf numFmtId="0" fontId="4" fillId="0" borderId="59" xfId="0" applyFont="1" applyBorder="1" applyAlignment="1">
      <alignment horizontal="center"/>
    </xf>
    <xf numFmtId="0" fontId="0" fillId="0" borderId="59" xfId="0" applyBorder="1"/>
    <xf numFmtId="0" fontId="0" fillId="0" borderId="59" xfId="0" applyBorder="1" applyAlignment="1">
      <alignment horizontal="center"/>
    </xf>
    <xf numFmtId="0" fontId="24" fillId="0" borderId="59" xfId="0" applyFont="1" applyBorder="1" applyAlignment="1">
      <alignment horizontal="center"/>
    </xf>
    <xf numFmtId="0" fontId="25" fillId="0" borderId="59" xfId="0" applyFont="1" applyBorder="1" applyAlignment="1">
      <alignment horizontal="center"/>
    </xf>
    <xf numFmtId="0" fontId="0" fillId="0" borderId="59" xfId="0" applyBorder="1" applyAlignment="1">
      <alignment horizontal="left"/>
    </xf>
    <xf numFmtId="0" fontId="36" fillId="0" borderId="32" xfId="0" applyFont="1" applyBorder="1" applyAlignment="1">
      <alignment vertical="center"/>
    </xf>
    <xf numFmtId="0" fontId="28" fillId="0" borderId="32" xfId="0" applyFont="1" applyBorder="1" applyAlignment="1">
      <alignment horizontal="right" vertical="center"/>
    </xf>
    <xf numFmtId="49" fontId="28" fillId="0" borderId="32" xfId="0" applyNumberFormat="1" applyFont="1" applyBorder="1" applyAlignment="1">
      <alignment horizontal="right" vertical="center"/>
    </xf>
    <xf numFmtId="14" fontId="28" fillId="0" borderId="32" xfId="0" applyNumberFormat="1" applyFont="1" applyBorder="1" applyAlignment="1">
      <alignment horizontal="center" vertical="center"/>
    </xf>
    <xf numFmtId="0" fontId="1" fillId="0" borderId="32" xfId="5" applyBorder="1" applyAlignment="1">
      <alignment vertical="center"/>
    </xf>
    <xf numFmtId="0" fontId="0" fillId="0" borderId="1" xfId="0" applyBorder="1" applyAlignment="1">
      <alignment horizontal="center" vertical="center" wrapText="1"/>
    </xf>
    <xf numFmtId="14" fontId="0" fillId="0" borderId="1" xfId="0" applyNumberFormat="1" applyBorder="1" applyAlignment="1">
      <alignment horizontal="center" vertical="center" wrapText="1"/>
    </xf>
    <xf numFmtId="14" fontId="0" fillId="0" borderId="1" xfId="0" applyNumberFormat="1" applyBorder="1" applyAlignment="1">
      <alignment horizontal="center" vertical="center"/>
    </xf>
    <xf numFmtId="14" fontId="0" fillId="0" borderId="44" xfId="0" applyNumberFormat="1" applyBorder="1" applyAlignment="1">
      <alignment horizontal="center" vertical="center"/>
    </xf>
    <xf numFmtId="14" fontId="0" fillId="0" borderId="35" xfId="0" applyNumberFormat="1" applyBorder="1" applyAlignment="1">
      <alignment horizontal="center" vertical="center"/>
    </xf>
    <xf numFmtId="14" fontId="0" fillId="0" borderId="59" xfId="0" applyNumberFormat="1" applyBorder="1" applyAlignment="1">
      <alignment horizontal="center" vertical="center"/>
    </xf>
    <xf numFmtId="0" fontId="0" fillId="0" borderId="1" xfId="0" applyBorder="1" applyAlignment="1">
      <alignment horizontal="center" vertical="center"/>
    </xf>
    <xf numFmtId="0" fontId="24" fillId="14" borderId="59" xfId="0" applyFont="1" applyFill="1" applyBorder="1" applyAlignment="1">
      <alignment horizontal="center"/>
    </xf>
    <xf numFmtId="0" fontId="8" fillId="0" borderId="3" xfId="0" applyFont="1" applyBorder="1" applyAlignment="1">
      <alignment horizontal="center" vertical="center"/>
    </xf>
    <xf numFmtId="14" fontId="8" fillId="0" borderId="3" xfId="0" applyNumberFormat="1" applyFont="1" applyBorder="1" applyAlignment="1">
      <alignment horizontal="center" vertical="center"/>
    </xf>
    <xf numFmtId="0" fontId="8" fillId="0" borderId="0" xfId="0" applyFont="1" applyAlignment="1">
      <alignment horizontal="center" vertical="center"/>
    </xf>
    <xf numFmtId="14" fontId="8" fillId="0" borderId="0" xfId="0" applyNumberFormat="1" applyFont="1" applyAlignment="1">
      <alignment horizontal="center" vertical="center"/>
    </xf>
    <xf numFmtId="0" fontId="4" fillId="0" borderId="1" xfId="0" applyFont="1" applyBorder="1" applyAlignment="1">
      <alignment horizontal="center" vertical="center"/>
    </xf>
    <xf numFmtId="0" fontId="11" fillId="0" borderId="1" xfId="0" applyFont="1" applyBorder="1" applyAlignment="1">
      <alignment horizontal="center" vertical="center"/>
    </xf>
    <xf numFmtId="0" fontId="26" fillId="0" borderId="39" xfId="0" applyFont="1" applyBorder="1" applyAlignment="1">
      <alignment horizontal="center" vertical="center"/>
    </xf>
    <xf numFmtId="0" fontId="4" fillId="0" borderId="1" xfId="0" applyFont="1" applyBorder="1" applyAlignment="1">
      <alignment horizontal="center" vertical="center" wrapText="1"/>
    </xf>
    <xf numFmtId="0" fontId="26" fillId="0" borderId="37" xfId="0" applyFont="1" applyBorder="1" applyAlignment="1">
      <alignment horizontal="center" vertical="center" wrapText="1"/>
    </xf>
    <xf numFmtId="0" fontId="26" fillId="0" borderId="36" xfId="0" applyFont="1" applyBorder="1" applyAlignment="1">
      <alignment horizontal="center" vertical="center" wrapText="1"/>
    </xf>
    <xf numFmtId="0" fontId="26" fillId="0" borderId="38" xfId="0" applyFont="1" applyBorder="1" applyAlignment="1">
      <alignment horizontal="center" vertical="center" wrapText="1"/>
    </xf>
    <xf numFmtId="0" fontId="26" fillId="0" borderId="39" xfId="0" applyFont="1" applyBorder="1" applyAlignment="1">
      <alignment horizontal="center" vertical="center" wrapText="1"/>
    </xf>
    <xf numFmtId="0" fontId="26" fillId="0" borderId="0" xfId="0" applyFont="1" applyAlignment="1">
      <alignment horizontal="center" vertical="center" wrapText="1"/>
    </xf>
    <xf numFmtId="0" fontId="26" fillId="0" borderId="40" xfId="0" applyFont="1" applyBorder="1" applyAlignment="1">
      <alignment horizontal="center" vertical="center" wrapText="1"/>
    </xf>
    <xf numFmtId="0" fontId="26" fillId="0" borderId="41" xfId="0" applyFont="1" applyBorder="1" applyAlignment="1">
      <alignment horizontal="center" vertical="center" wrapText="1"/>
    </xf>
    <xf numFmtId="0" fontId="26" fillId="0" borderId="42" xfId="0" applyFont="1" applyBorder="1" applyAlignment="1">
      <alignment horizontal="center" vertical="center" wrapText="1"/>
    </xf>
    <xf numFmtId="0" fontId="26" fillId="0" borderId="43" xfId="0" applyFont="1" applyBorder="1" applyAlignment="1">
      <alignment horizontal="center" vertical="center" wrapText="1"/>
    </xf>
    <xf numFmtId="0" fontId="11" fillId="0" borderId="1" xfId="0" applyFont="1" applyBorder="1" applyAlignment="1">
      <alignment horizontal="center" vertical="center" wrapText="1"/>
    </xf>
    <xf numFmtId="0" fontId="11" fillId="0" borderId="0" xfId="0" applyFont="1" applyAlignment="1">
      <alignment horizontal="center" vertical="center"/>
    </xf>
    <xf numFmtId="0" fontId="26" fillId="0" borderId="37" xfId="0" applyFont="1" applyBorder="1" applyAlignment="1">
      <alignment horizontal="center" vertical="center"/>
    </xf>
    <xf numFmtId="0" fontId="26" fillId="0" borderId="36" xfId="0" applyFont="1" applyBorder="1" applyAlignment="1">
      <alignment horizontal="center" vertical="center"/>
    </xf>
    <xf numFmtId="0" fontId="26" fillId="0" borderId="38" xfId="0" applyFont="1" applyBorder="1" applyAlignment="1">
      <alignment horizontal="center" vertical="center"/>
    </xf>
    <xf numFmtId="0" fontId="26" fillId="0" borderId="0" xfId="0" applyFont="1" applyAlignment="1">
      <alignment horizontal="center" vertical="center"/>
    </xf>
    <xf numFmtId="0" fontId="26" fillId="0" borderId="40" xfId="0" applyFont="1" applyBorder="1" applyAlignment="1">
      <alignment horizontal="center" vertical="center"/>
    </xf>
    <xf numFmtId="0" fontId="26" fillId="0" borderId="41" xfId="0" applyFont="1" applyBorder="1" applyAlignment="1">
      <alignment horizontal="center" vertical="center"/>
    </xf>
    <xf numFmtId="0" fontId="26" fillId="0" borderId="42" xfId="0" applyFont="1" applyBorder="1" applyAlignment="1">
      <alignment horizontal="center" vertical="center"/>
    </xf>
    <xf numFmtId="0" fontId="26" fillId="0" borderId="43" xfId="0" applyFont="1" applyBorder="1" applyAlignment="1">
      <alignment horizontal="center" vertical="center"/>
    </xf>
    <xf numFmtId="0" fontId="19" fillId="0" borderId="1" xfId="0" applyFont="1" applyBorder="1" applyAlignment="1">
      <alignment horizontal="center" vertical="center"/>
    </xf>
    <xf numFmtId="0" fontId="0" fillId="0" borderId="19" xfId="0" applyBorder="1" applyAlignment="1">
      <alignment horizontal="center"/>
    </xf>
    <xf numFmtId="0" fontId="0" fillId="0" borderId="25" xfId="0" applyBorder="1" applyAlignment="1">
      <alignment horizontal="center"/>
    </xf>
    <xf numFmtId="0" fontId="0" fillId="0" borderId="20" xfId="0" applyBorder="1" applyAlignment="1">
      <alignment horizontal="center"/>
    </xf>
    <xf numFmtId="0" fontId="0" fillId="0" borderId="0" xfId="0"/>
  </cellXfs>
  <cellStyles count="7">
    <cellStyle name="Hipervínculo" xfId="5" builtinId="8"/>
    <cellStyle name="Incorrecto" xfId="4" builtinId="27"/>
    <cellStyle name="Moneda" xfId="1" builtinId="4"/>
    <cellStyle name="Moneda 2" xfId="3" xr:uid="{CAA8CCC9-F4FA-4A5B-AAF1-88DFCBAD84A4}"/>
    <cellStyle name="Neutral" xfId="2" builtinId="28"/>
    <cellStyle name="Normal" xfId="0" builtinId="0"/>
    <cellStyle name="Porcentaje" xfId="6" builtinId="5"/>
  </cellStyles>
  <dxfs count="191">
    <dxf>
      <fill>
        <patternFill>
          <bgColor rgb="FF92D050"/>
        </patternFill>
      </fill>
    </dxf>
    <dxf>
      <fill>
        <patternFill>
          <bgColor rgb="FF92D050"/>
        </patternFill>
      </fill>
    </dxf>
    <dxf>
      <fill>
        <patternFill>
          <bgColor rgb="FF92D050"/>
        </patternFill>
      </fill>
    </dxf>
    <dxf>
      <font>
        <color rgb="FF9C0006"/>
      </font>
      <fill>
        <patternFill>
          <bgColor rgb="FFFFC7CE"/>
        </patternFill>
      </fill>
    </dxf>
    <dxf>
      <font>
        <color rgb="FF9C0006"/>
      </font>
      <fill>
        <patternFill>
          <bgColor rgb="FFFFC7CE"/>
        </patternFill>
      </fill>
    </dxf>
    <dxf>
      <numFmt numFmtId="164" formatCode="dd/mm/yyyy;@"/>
    </dxf>
    <dxf>
      <numFmt numFmtId="164" formatCode="dd/mm/yyyy;@"/>
      <fill>
        <patternFill patternType="solid">
          <fgColor indexed="64"/>
          <bgColor theme="0" tint="-0.14999847407452621"/>
        </patternFill>
      </fill>
    </dxf>
    <dxf>
      <numFmt numFmtId="164" formatCode="dd/mm/yyyy;@"/>
      <fill>
        <patternFill patternType="solid">
          <fgColor indexed="64"/>
          <bgColor theme="0" tint="-0.14999847407452621"/>
        </patternFill>
      </fill>
    </dxf>
    <dxf>
      <numFmt numFmtId="164" formatCode="dd/mm/yyyy;@"/>
      <fill>
        <patternFill patternType="solid">
          <fgColor indexed="64"/>
          <bgColor theme="0" tint="-0.14999847407452621"/>
        </patternFill>
      </fill>
    </dxf>
    <dxf>
      <numFmt numFmtId="164" formatCode="dd/mm/yyyy;@"/>
    </dxf>
    <dxf>
      <numFmt numFmtId="164" formatCode="dd/mm/yyyy;@"/>
      <fill>
        <patternFill patternType="solid">
          <fgColor indexed="64"/>
          <bgColor theme="0" tint="-0.14999847407452621"/>
        </patternFill>
      </fill>
    </dxf>
    <dxf>
      <numFmt numFmtId="164" formatCode="dd/mm/yyyy;@"/>
    </dxf>
    <dxf>
      <numFmt numFmtId="164" formatCode="dd/mm/yyyy;@"/>
      <fill>
        <patternFill patternType="solid">
          <fgColor indexed="64"/>
          <bgColor theme="0" tint="-0.14999847407452621"/>
        </patternFill>
      </fill>
    </dxf>
    <dxf>
      <numFmt numFmtId="164" formatCode="dd/mm/yyyy;@"/>
      <fill>
        <patternFill patternType="solid">
          <fgColor indexed="64"/>
          <bgColor theme="0" tint="-0.14999847407452621"/>
        </patternFill>
      </fill>
    </dxf>
    <dxf>
      <numFmt numFmtId="164" formatCode="dd/mm/yyyy;@"/>
      <fill>
        <patternFill patternType="solid">
          <fgColor indexed="64"/>
          <bgColor theme="0" tint="-0.14999847407452621"/>
        </patternFill>
      </fill>
    </dxf>
    <dxf>
      <numFmt numFmtId="164" formatCode="dd/mm/yyyy;@"/>
      <fill>
        <patternFill patternType="solid">
          <fgColor indexed="64"/>
          <bgColor theme="0" tint="-0.14999847407452621"/>
        </patternFill>
      </fill>
    </dxf>
    <dxf>
      <numFmt numFmtId="164" formatCode="dd/mm/yyyy;@"/>
    </dxf>
    <dxf>
      <numFmt numFmtId="0" formatCode="General"/>
      <alignment horizontal="right" vertical="bottom" textRotation="0" wrapText="0" indent="0" justifyLastLine="0" shrinkToFit="0" readingOrder="0"/>
    </dxf>
    <dxf>
      <alignment vertical="bottom" textRotation="0" wrapText="1" indent="0" justifyLastLine="0" shrinkToFit="0" readingOrder="0"/>
    </dxf>
    <dxf>
      <font>
        <b val="0"/>
        <strike val="0"/>
        <outline val="0"/>
        <shadow val="0"/>
        <u val="none"/>
        <vertAlign val="baseline"/>
        <sz val="12"/>
        <name val="Calibri"/>
        <family val="2"/>
        <scheme val="minor"/>
      </font>
      <alignment horizontal="center" vertical="center" textRotation="0" indent="0" justifyLastLine="0" shrinkToFit="0" readingOrder="0"/>
      <border diagonalUp="0" diagonalDown="0">
        <left style="thin">
          <color indexed="64"/>
        </left>
        <right/>
        <top style="thin">
          <color indexed="64"/>
        </top>
        <bottom style="thin">
          <color indexed="64"/>
        </bottom>
      </border>
    </dxf>
    <dxf>
      <font>
        <b val="0"/>
        <strike val="0"/>
        <outline val="0"/>
        <shadow val="0"/>
        <u val="none"/>
        <vertAlign val="baseline"/>
        <sz val="12"/>
        <name val="Calibri"/>
        <family val="2"/>
        <scheme val="minor"/>
      </font>
      <alignment horizontal="center" vertical="center" textRotation="0" indent="0" justifyLastLine="0" shrinkToFit="0" readingOrder="0"/>
      <border diagonalUp="0" diagonalDown="0">
        <left style="thin">
          <color indexed="64"/>
        </left>
        <right/>
        <top style="thin">
          <color indexed="64"/>
        </top>
        <bottom style="thin">
          <color indexed="64"/>
        </bottom>
      </border>
    </dxf>
    <dxf>
      <font>
        <b val="0"/>
        <strike val="0"/>
        <outline val="0"/>
        <shadow val="0"/>
        <u val="none"/>
        <vertAlign val="baseline"/>
        <sz val="12"/>
        <name val="Calibri"/>
        <family val="2"/>
        <scheme val="minor"/>
      </font>
      <alignment horizontal="center" vertical="center" textRotation="0" indent="0" justifyLastLine="0" shrinkToFit="0" readingOrder="0"/>
      <border diagonalUp="0" diagonalDown="0">
        <left style="thin">
          <color indexed="64"/>
        </left>
        <right/>
        <top style="thin">
          <color indexed="64"/>
        </top>
        <bottom style="thin">
          <color indexed="64"/>
        </bottom>
      </border>
    </dxf>
    <dxf>
      <font>
        <b val="0"/>
        <strike val="0"/>
        <outline val="0"/>
        <shadow val="0"/>
        <u val="none"/>
        <vertAlign val="baseline"/>
        <sz val="12"/>
        <name val="Calibri"/>
        <family val="2"/>
        <scheme val="minor"/>
      </font>
      <alignment horizontal="center" vertical="center" textRotation="0" indent="0" justifyLastLine="0" shrinkToFit="0" readingOrder="0"/>
      <border diagonalUp="0" diagonalDown="0">
        <left style="thin">
          <color indexed="64"/>
        </left>
        <right/>
        <top style="thin">
          <color indexed="64"/>
        </top>
        <bottom style="thin">
          <color indexed="64"/>
        </bottom>
      </border>
    </dxf>
    <dxf>
      <font>
        <b/>
        <strike val="0"/>
        <outline val="0"/>
        <shadow val="0"/>
        <u val="none"/>
        <vertAlign val="baseline"/>
        <sz val="12"/>
        <name val="Calibri"/>
        <family val="2"/>
        <scheme val="minor"/>
      </font>
      <alignment horizontal="center" vertical="center" textRotation="0" indent="0" justifyLastLine="0" shrinkToFit="0" readingOrder="0"/>
      <border diagonalUp="0" diagonalDown="0" outline="0">
        <left style="thin">
          <color indexed="64"/>
        </left>
        <right/>
        <top style="thin">
          <color indexed="64"/>
        </top>
        <bottom style="thin">
          <color indexed="64"/>
        </bottom>
      </border>
    </dxf>
    <dxf>
      <font>
        <b val="0"/>
        <strike val="0"/>
        <outline val="0"/>
        <shadow val="0"/>
        <u val="none"/>
        <vertAlign val="baseline"/>
        <sz val="12"/>
        <color theme="1"/>
        <name val="Calibri"/>
        <family val="2"/>
        <scheme val="minor"/>
      </font>
      <numFmt numFmtId="0" formatCode="Genera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2"/>
        <color theme="1"/>
        <name val="Calibri"/>
        <family val="2"/>
        <scheme val="minor"/>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auto="1"/>
        <name val="Calibri"/>
        <family val="2"/>
        <scheme val="minor"/>
      </font>
      <numFmt numFmtId="14" formatCode="0.00%"/>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strike val="0"/>
        <outline val="0"/>
        <shadow val="0"/>
        <u val="none"/>
        <vertAlign val="baseline"/>
        <sz val="12"/>
        <name val="Calibri"/>
        <family val="2"/>
        <scheme val="minor"/>
      </font>
      <alignment horizontal="center"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strike val="0"/>
        <outline val="0"/>
        <shadow val="0"/>
        <u val="none"/>
        <vertAlign val="baseline"/>
        <sz val="12"/>
        <name val="Calibri"/>
        <family val="2"/>
        <scheme val="minor"/>
      </font>
      <alignment horizontal="center"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strike val="0"/>
        <outline val="0"/>
        <shadow val="0"/>
        <u val="none"/>
        <vertAlign val="baseline"/>
        <sz val="12"/>
        <name val="Calibri"/>
        <family val="2"/>
        <scheme val="minor"/>
      </font>
      <alignment horizontal="center"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strike val="0"/>
        <outline val="0"/>
        <shadow val="0"/>
        <u val="none"/>
        <vertAlign val="baseline"/>
        <sz val="12"/>
        <name val="Calibri"/>
        <family val="2"/>
        <scheme val="minor"/>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strike val="0"/>
        <outline val="0"/>
        <shadow val="0"/>
        <u val="none"/>
        <vertAlign val="baseline"/>
        <sz val="12"/>
        <name val="Calibri"/>
        <family val="2"/>
        <scheme val="minor"/>
      </font>
      <alignment horizontal="center"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strike val="0"/>
        <outline val="0"/>
        <shadow val="0"/>
        <u val="none"/>
        <vertAlign val="baseline"/>
        <sz val="12"/>
        <name val="Calibri"/>
        <family val="2"/>
        <scheme val="minor"/>
      </font>
      <alignmen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strike val="0"/>
        <outline val="0"/>
        <shadow val="0"/>
        <u val="none"/>
        <vertAlign val="baseline"/>
        <sz val="12"/>
        <name val="Calibri"/>
        <family val="2"/>
        <scheme val="minor"/>
      </font>
      <alignment horizontal="center"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font>
        <b val="0"/>
        <strike val="0"/>
        <outline val="0"/>
        <shadow val="0"/>
        <u val="none"/>
        <vertAlign val="baseline"/>
        <sz val="12"/>
        <name val="Calibri"/>
        <family val="2"/>
        <scheme val="minor"/>
      </font>
      <alignment vertical="center" textRotation="0" indent="0" justifyLastLine="0" shrinkToFit="0" readingOrder="0"/>
    </dxf>
    <dxf>
      <border>
        <bottom style="thin">
          <color indexed="64"/>
        </bottom>
      </border>
    </dxf>
    <dxf>
      <font>
        <b/>
        <i val="0"/>
        <strike val="0"/>
        <condense val="0"/>
        <extend val="0"/>
        <outline val="0"/>
        <shadow val="0"/>
        <u val="none"/>
        <vertAlign val="baseline"/>
        <sz val="12"/>
        <color auto="1"/>
        <name val="Calibri"/>
        <family val="2"/>
        <scheme val="minor"/>
      </font>
      <fill>
        <patternFill patternType="solid">
          <fgColor indexed="64"/>
          <bgColor theme="2"/>
        </patternFill>
      </fill>
      <alignment horizontal="center" vertical="center" textRotation="0" wrapText="1" indent="0" justifyLastLine="0" shrinkToFit="0" readingOrder="0"/>
      <border diagonalUp="0" diagonalDown="0">
        <left style="thin">
          <color indexed="64"/>
        </left>
        <right style="thin">
          <color indexed="64"/>
        </right>
        <top/>
        <bottom/>
        <vertical style="thin">
          <color indexed="64"/>
        </vertical>
        <horizontal style="thin">
          <color indexed="64"/>
        </horizontal>
      </border>
    </dxf>
    <dxf>
      <font>
        <b/>
        <i/>
      </font>
      <fill>
        <patternFill>
          <bgColor rgb="FFFF6161"/>
        </patternFill>
      </fill>
    </dxf>
    <dxf>
      <font>
        <b/>
        <i/>
      </font>
      <fill>
        <patternFill>
          <bgColor rgb="FFFFFF00"/>
        </patternFill>
      </fill>
    </dxf>
    <dxf>
      <font>
        <b/>
        <i/>
      </font>
      <fill>
        <patternFill>
          <bgColor rgb="FF00B050"/>
        </patternFill>
      </fill>
    </dxf>
    <dxf>
      <font>
        <b/>
        <i/>
      </font>
      <fill>
        <patternFill>
          <bgColor rgb="FF00B0F0"/>
        </patternFill>
      </fill>
    </dxf>
    <dxf>
      <font>
        <b val="0"/>
        <strike val="0"/>
        <outline val="0"/>
        <shadow val="0"/>
        <u val="none"/>
        <vertAlign val="baseline"/>
        <sz val="16"/>
        <color theme="1"/>
        <name val="Calibri"/>
        <family val="2"/>
        <scheme val="minor"/>
      </font>
      <numFmt numFmtId="19" formatCode="d/mm/yyyy"/>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6"/>
        <color theme="1"/>
        <name val="Calibri"/>
        <family val="2"/>
        <scheme val="minor"/>
      </font>
      <numFmt numFmtId="0" formatCode="Genera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Calibri"/>
        <family val="2"/>
        <scheme val="minor"/>
      </font>
      <numFmt numFmtId="19" formatCode="d/mm/yyyy"/>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6"/>
        <color theme="1"/>
        <name val="Calibri"/>
        <family val="2"/>
        <scheme val="minor"/>
      </font>
      <numFmt numFmtId="0" formatCode="Genera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Calibri"/>
        <family val="2"/>
        <scheme val="minor"/>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family val="2"/>
        <scheme val="minor"/>
      </font>
      <numFmt numFmtId="14" formatCode="0.00%"/>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family val="2"/>
        <scheme val="minor"/>
      </font>
      <numFmt numFmtId="14" formatCode="0.00%"/>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strike val="0"/>
        <outline val="0"/>
        <shadow val="0"/>
        <u val="none"/>
        <vertAlign val="baseline"/>
        <sz val="12"/>
        <name val="Calibri"/>
        <family val="2"/>
        <scheme val="minor"/>
      </font>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font>
        <b val="0"/>
        <strike val="0"/>
        <outline val="0"/>
        <shadow val="0"/>
        <u val="none"/>
        <vertAlign val="baseline"/>
        <sz val="12"/>
        <name val="Calibri"/>
        <family val="2"/>
        <scheme val="minor"/>
      </font>
      <alignment horizontal="center" vertical="center" textRotation="0" wrapText="1" indent="0" justifyLastLine="0" shrinkToFit="0" readingOrder="0"/>
      <border diagonalUp="0" diagonalDown="0" outline="0">
        <left/>
        <right/>
        <top style="thin">
          <color indexed="64"/>
        </top>
        <bottom style="thin">
          <color indexed="64"/>
        </bottom>
      </border>
    </dxf>
    <dxf>
      <font>
        <b val="0"/>
        <strike val="0"/>
        <outline val="0"/>
        <shadow val="0"/>
        <u val="none"/>
        <vertAlign val="baseline"/>
        <sz val="12"/>
        <name val="Calibri"/>
        <family val="2"/>
        <scheme val="minor"/>
      </font>
      <alignment horizontal="center" vertical="center" textRotation="0" wrapText="1" indent="0" justifyLastLine="0" shrinkToFit="0" readingOrder="0"/>
      <border diagonalUp="0" diagonalDown="0" outline="0">
        <left/>
        <right/>
        <top style="thin">
          <color indexed="64"/>
        </top>
        <bottom style="thin">
          <color indexed="64"/>
        </bottom>
      </border>
    </dxf>
    <dxf>
      <font>
        <b val="0"/>
        <strike val="0"/>
        <outline val="0"/>
        <shadow val="0"/>
        <u val="none"/>
        <vertAlign val="baseline"/>
        <sz val="12"/>
        <name val="Calibri"/>
        <family val="2"/>
        <scheme val="minor"/>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strike val="0"/>
        <outline val="0"/>
        <shadow val="0"/>
        <u val="none"/>
        <vertAlign val="baseline"/>
        <sz val="12"/>
        <name val="Calibri"/>
        <family val="2"/>
        <scheme val="minor"/>
      </font>
      <alignment horizontal="center" vertical="center" textRotation="0" wrapText="1" indent="0" justifyLastLine="0" shrinkToFit="0" readingOrder="0"/>
      <border diagonalUp="0" diagonalDown="0" outline="0">
        <left/>
        <right/>
        <top style="thin">
          <color indexed="64"/>
        </top>
        <bottom style="thin">
          <color indexed="64"/>
        </bottom>
      </border>
    </dxf>
    <dxf>
      <font>
        <b val="0"/>
        <strike val="0"/>
        <outline val="0"/>
        <shadow val="0"/>
        <u val="none"/>
        <vertAlign val="baseline"/>
        <sz val="12"/>
        <name val="Calibri"/>
        <family val="2"/>
        <scheme val="minor"/>
      </font>
      <alignment vertical="center" textRotation="0" wrapText="1" indent="0" justifyLastLine="0" shrinkToFit="0" readingOrder="0"/>
      <border diagonalUp="0" diagonalDown="0" outline="0">
        <left/>
        <right/>
        <top style="thin">
          <color indexed="64"/>
        </top>
        <bottom style="thin">
          <color indexed="64"/>
        </bottom>
      </border>
    </dxf>
    <dxf>
      <font>
        <b/>
        <strike val="0"/>
        <outline val="0"/>
        <shadow val="0"/>
        <u val="none"/>
        <vertAlign val="baseline"/>
        <sz val="12"/>
        <name val="Calibri"/>
        <family val="2"/>
        <scheme val="minor"/>
      </font>
      <alignment horizontal="center" vertical="center" textRotation="0" wrapText="1" indent="0" justifyLastLine="0" shrinkToFit="0" readingOrder="0"/>
      <border diagonalUp="0" diagonalDown="0" outline="0">
        <left style="thin">
          <color indexed="64"/>
        </left>
        <right/>
        <top style="thin">
          <color indexed="64"/>
        </top>
        <bottom style="thin">
          <color indexed="64"/>
        </bottom>
      </border>
    </dxf>
    <dxf>
      <border outline="0">
        <top style="thin">
          <color rgb="FF000000"/>
        </top>
      </border>
    </dxf>
    <dxf>
      <font>
        <b val="0"/>
        <strike val="0"/>
        <outline val="0"/>
        <shadow val="0"/>
        <u val="none"/>
        <vertAlign val="baseline"/>
        <sz val="12"/>
        <name val="Calibri"/>
        <family val="2"/>
        <scheme val="none"/>
      </font>
      <alignment vertical="center" textRotation="0" wrapText="1" indent="0" justifyLastLine="0" shrinkToFit="0" readingOrder="0"/>
    </dxf>
    <dxf>
      <border outline="0">
        <bottom style="thin">
          <color rgb="FF000000"/>
        </bottom>
      </border>
    </dxf>
    <dxf>
      <font>
        <b/>
        <i val="0"/>
        <strike val="0"/>
        <condense val="0"/>
        <extend val="0"/>
        <outline val="0"/>
        <shadow val="0"/>
        <u val="none"/>
        <vertAlign val="baseline"/>
        <sz val="14"/>
        <color auto="1"/>
        <name val="Calibri"/>
        <family val="2"/>
        <scheme val="minor"/>
      </font>
      <fill>
        <patternFill patternType="solid">
          <fgColor indexed="64"/>
          <bgColor theme="2"/>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i/>
      </font>
      <fill>
        <patternFill>
          <bgColor rgb="FFFFFF00"/>
        </patternFill>
      </fill>
    </dxf>
    <dxf>
      <font>
        <b/>
        <i val="0"/>
      </font>
      <fill>
        <patternFill>
          <bgColor rgb="FFFF0000"/>
        </patternFill>
      </fill>
    </dxf>
    <dxf>
      <font>
        <b val="0"/>
        <i/>
      </font>
      <fill>
        <patternFill patternType="solid">
          <bgColor theme="8" tint="0.79998168889431442"/>
        </patternFill>
      </fill>
    </dxf>
    <dxf>
      <fill>
        <patternFill>
          <bgColor rgb="FF0070C0"/>
        </patternFill>
      </fill>
    </dxf>
    <dxf>
      <fill>
        <patternFill>
          <bgColor rgb="FF00B050"/>
        </patternFill>
      </fill>
    </dxf>
    <dxf>
      <fill>
        <patternFill>
          <bgColor rgb="FFFF0000"/>
        </patternFill>
      </fill>
    </dxf>
    <dxf>
      <fill>
        <patternFill>
          <bgColor rgb="FF0070C0"/>
        </patternFill>
      </fill>
    </dxf>
    <dxf>
      <fill>
        <patternFill>
          <bgColor rgb="FF00B050"/>
        </patternFill>
      </fill>
    </dxf>
    <dxf>
      <fill>
        <patternFill>
          <bgColor rgb="FFFF0000"/>
        </patternFill>
      </fill>
    </dxf>
    <dxf>
      <fill>
        <patternFill>
          <bgColor rgb="FF0070C0"/>
        </patternFill>
      </fill>
    </dxf>
    <dxf>
      <fill>
        <patternFill>
          <bgColor rgb="FF00B050"/>
        </patternFill>
      </fill>
    </dxf>
    <dxf>
      <fill>
        <patternFill>
          <bgColor rgb="FFFF0000"/>
        </patternFill>
      </fill>
    </dxf>
    <dxf>
      <font>
        <b val="0"/>
      </font>
      <alignment horizontal="left" textRotation="0"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2"/>
        <color auto="1"/>
        <name val="Calibri"/>
        <family val="2"/>
        <scheme val="minor"/>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2"/>
        <color theme="0"/>
        <name val="Calibri"/>
        <family val="2"/>
        <scheme val="minor"/>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font>
      <alignment horizontal="center" textRotation="0" indent="0" justifyLastLine="0" shrinkToFit="0" readingOrder="0"/>
      <border diagonalUp="0" diagonalDown="0" outline="0">
        <left/>
        <right style="thin">
          <color indexed="64"/>
        </right>
        <top style="thin">
          <color indexed="64"/>
        </top>
        <bottom style="thin">
          <color indexed="64"/>
        </bottom>
      </border>
    </dxf>
    <dxf>
      <font>
        <b val="0"/>
      </font>
      <alignment horizontal="center" textRotation="0" indent="0" justifyLastLine="0" shrinkToFit="0" readingOrder="0"/>
      <border diagonalUp="0" diagonalDown="0" outline="0">
        <left/>
        <right/>
        <top style="thin">
          <color indexed="64"/>
        </top>
        <bottom style="thin">
          <color indexed="64"/>
        </bottom>
      </border>
    </dxf>
    <dxf>
      <font>
        <b val="0"/>
      </font>
      <alignment horizontal="center" textRotation="0" indent="0" justifyLastLine="0" shrinkToFit="0" readingOrder="0"/>
      <border diagonalUp="0" diagonalDown="0" outline="0">
        <left/>
        <right/>
        <top style="thin">
          <color indexed="64"/>
        </top>
        <bottom style="thin">
          <color indexed="64"/>
        </bottom>
      </border>
    </dxf>
    <dxf>
      <font>
        <b val="0"/>
      </font>
      <alignment horizontal="center" vertical="center" textRotation="0" wrapText="0" indent="0" justifyLastLine="0" shrinkToFit="0" readingOrder="0"/>
      <border diagonalUp="0" diagonalDown="0" outline="0">
        <left/>
        <right/>
        <top style="thin">
          <color indexed="64"/>
        </top>
        <bottom style="thin">
          <color indexed="64"/>
        </bottom>
      </border>
    </dxf>
    <dxf>
      <font>
        <b val="0"/>
      </font>
      <border diagonalUp="0" diagonalDown="0" outline="0">
        <left/>
        <right/>
        <top style="thin">
          <color indexed="64"/>
        </top>
        <bottom style="thin">
          <color indexed="64"/>
        </bottom>
      </border>
    </dxf>
    <dxf>
      <font>
        <b/>
      </font>
      <alignment horizontal="center" vertical="bottom" textRotation="0" wrapText="0" indent="0" justifyLastLine="0" shrinkToFit="0" readingOrder="0"/>
      <border diagonalUp="0" diagonalDown="0" outline="0">
        <left style="thin">
          <color indexed="64"/>
        </left>
        <right/>
        <top style="thin">
          <color indexed="64"/>
        </top>
        <bottom style="thin">
          <color indexed="64"/>
        </bottom>
      </border>
    </dxf>
    <dxf>
      <border outline="0">
        <top style="thin">
          <color indexed="64"/>
        </top>
      </border>
    </dxf>
    <dxf>
      <border outline="0">
        <bottom style="thin">
          <color indexed="64"/>
        </bottom>
      </border>
    </dxf>
    <dxf>
      <font>
        <b/>
        <i val="0"/>
        <strike val="0"/>
        <condense val="0"/>
        <extend val="0"/>
        <outline val="0"/>
        <shadow val="0"/>
        <u val="none"/>
        <vertAlign val="baseline"/>
        <sz val="12"/>
        <color auto="1"/>
        <name val="Calibri"/>
        <family val="2"/>
        <scheme val="minor"/>
      </font>
      <fill>
        <patternFill patternType="solid">
          <fgColor indexed="64"/>
          <bgColor theme="2"/>
        </patternFill>
      </fill>
      <alignment horizontal="center" vertical="center" textRotation="0" wrapText="1" indent="0" justifyLastLine="0" shrinkToFit="0" readingOrder="0"/>
      <border diagonalUp="0" diagonalDown="0" outline="0">
        <left style="thin">
          <color indexed="64"/>
        </left>
        <right style="thin">
          <color indexed="64"/>
        </right>
        <top/>
        <bottom/>
      </border>
    </dxf>
    <dxf>
      <fill>
        <patternFill patternType="solid">
          <bgColor rgb="FF002060"/>
        </patternFill>
      </fill>
    </dxf>
    <dxf>
      <fill>
        <patternFill>
          <bgColor rgb="FF0070C0"/>
        </patternFill>
      </fill>
    </dxf>
    <dxf>
      <fill>
        <patternFill>
          <bgColor rgb="FF002060"/>
        </patternFill>
      </fill>
    </dxf>
    <dxf>
      <fill>
        <patternFill>
          <bgColor rgb="FF00B050"/>
        </patternFill>
      </fill>
    </dxf>
    <dxf>
      <fill>
        <patternFill patternType="solid">
          <bgColor rgb="FF002060"/>
        </patternFill>
      </fill>
    </dxf>
    <dxf>
      <fill>
        <patternFill>
          <bgColor rgb="FFFF0000"/>
        </patternFill>
      </fill>
    </dxf>
    <dxf>
      <fill>
        <patternFill patternType="solid">
          <bgColor rgb="FF002060"/>
        </patternFill>
      </fill>
    </dxf>
    <dxf>
      <fill>
        <patternFill>
          <bgColor rgb="FF0070C0"/>
        </patternFill>
      </fill>
    </dxf>
    <dxf>
      <fill>
        <patternFill>
          <bgColor rgb="FF002060"/>
        </patternFill>
      </fill>
    </dxf>
    <dxf>
      <fill>
        <patternFill>
          <bgColor rgb="FF00B050"/>
        </patternFill>
      </fill>
    </dxf>
    <dxf>
      <fill>
        <patternFill>
          <bgColor rgb="FFFF0000"/>
        </patternFill>
      </fill>
    </dxf>
    <dxf>
      <fill>
        <patternFill patternType="solid">
          <bgColor rgb="FF002060"/>
        </patternFill>
      </fill>
    </dxf>
    <dxf>
      <fill>
        <patternFill>
          <bgColor rgb="FF0070C0"/>
        </patternFill>
      </fill>
    </dxf>
    <dxf>
      <fill>
        <patternFill>
          <bgColor rgb="FF002060"/>
        </patternFill>
      </fill>
    </dxf>
    <dxf>
      <fill>
        <patternFill>
          <bgColor rgb="FF00B050"/>
        </patternFill>
      </fill>
    </dxf>
    <dxf>
      <fill>
        <patternFill>
          <bgColor rgb="FFFF0000"/>
        </patternFill>
      </fill>
    </dxf>
    <dxf>
      <fill>
        <patternFill>
          <bgColor rgb="FF00B050"/>
        </patternFill>
      </fill>
    </dxf>
    <dxf>
      <fill>
        <patternFill patternType="solid">
          <bgColor rgb="FF002060"/>
        </patternFill>
      </fill>
    </dxf>
    <dxf>
      <fill>
        <patternFill>
          <bgColor rgb="FF0070C0"/>
        </patternFill>
      </fill>
    </dxf>
    <dxf>
      <fill>
        <patternFill>
          <bgColor rgb="FF002060"/>
        </patternFill>
      </fill>
    </dxf>
    <dxf>
      <fill>
        <patternFill>
          <bgColor rgb="FFFF0000"/>
        </patternFill>
      </fill>
    </dxf>
    <dxf>
      <fill>
        <patternFill patternType="solid">
          <bgColor rgb="FF002060"/>
        </patternFill>
      </fill>
    </dxf>
    <dxf>
      <fill>
        <patternFill>
          <bgColor rgb="FF0070C0"/>
        </patternFill>
      </fill>
    </dxf>
    <dxf>
      <fill>
        <patternFill>
          <bgColor rgb="FF002060"/>
        </patternFill>
      </fill>
    </dxf>
    <dxf>
      <fill>
        <patternFill>
          <bgColor rgb="FF00B050"/>
        </patternFill>
      </fill>
    </dxf>
    <dxf>
      <fill>
        <patternFill>
          <bgColor rgb="FFFF0000"/>
        </patternFill>
      </fill>
    </dxf>
    <dxf>
      <fill>
        <patternFill patternType="solid">
          <bgColor rgb="FF002060"/>
        </patternFill>
      </fill>
    </dxf>
    <dxf>
      <fill>
        <patternFill>
          <bgColor rgb="FF0070C0"/>
        </patternFill>
      </fill>
    </dxf>
    <dxf>
      <fill>
        <patternFill>
          <bgColor rgb="FF002060"/>
        </patternFill>
      </fill>
    </dxf>
    <dxf>
      <fill>
        <patternFill>
          <bgColor rgb="FF00B050"/>
        </patternFill>
      </fill>
    </dxf>
    <dxf>
      <fill>
        <patternFill>
          <bgColor rgb="FFFF0000"/>
        </patternFill>
      </fill>
    </dxf>
    <dxf>
      <fill>
        <patternFill patternType="solid">
          <bgColor rgb="FF002060"/>
        </patternFill>
      </fill>
    </dxf>
    <dxf>
      <fill>
        <patternFill>
          <bgColor rgb="FF0070C0"/>
        </patternFill>
      </fill>
    </dxf>
    <dxf>
      <fill>
        <patternFill>
          <bgColor rgb="FF002060"/>
        </patternFill>
      </fill>
    </dxf>
    <dxf>
      <fill>
        <patternFill>
          <bgColor rgb="FF00B050"/>
        </patternFill>
      </fill>
    </dxf>
    <dxf>
      <fill>
        <patternFill>
          <bgColor rgb="FFFF0000"/>
        </patternFill>
      </fill>
    </dxf>
    <dxf>
      <fill>
        <patternFill patternType="solid">
          <bgColor rgb="FF002060"/>
        </patternFill>
      </fill>
    </dxf>
    <dxf>
      <fill>
        <patternFill>
          <bgColor rgb="FF0070C0"/>
        </patternFill>
      </fill>
    </dxf>
    <dxf>
      <fill>
        <patternFill>
          <bgColor rgb="FF002060"/>
        </patternFill>
      </fill>
    </dxf>
    <dxf>
      <fill>
        <patternFill>
          <bgColor rgb="FF00B050"/>
        </patternFill>
      </fill>
    </dxf>
    <dxf>
      <fill>
        <patternFill>
          <bgColor rgb="FFFF0000"/>
        </patternFill>
      </fill>
    </dxf>
    <dxf>
      <fill>
        <patternFill patternType="solid">
          <bgColor rgb="FF002060"/>
        </patternFill>
      </fill>
    </dxf>
    <dxf>
      <fill>
        <patternFill>
          <bgColor rgb="FF0070C0"/>
        </patternFill>
      </fill>
    </dxf>
    <dxf>
      <fill>
        <patternFill>
          <bgColor rgb="FF002060"/>
        </patternFill>
      </fill>
    </dxf>
    <dxf>
      <fill>
        <patternFill>
          <bgColor rgb="FFFF0000"/>
        </patternFill>
      </fill>
    </dxf>
    <dxf>
      <fill>
        <patternFill patternType="solid">
          <bgColor rgb="FF002060"/>
        </patternFill>
      </fill>
    </dxf>
    <dxf>
      <fill>
        <patternFill>
          <bgColor rgb="FF0070C0"/>
        </patternFill>
      </fill>
    </dxf>
    <dxf>
      <fill>
        <patternFill>
          <bgColor rgb="FF002060"/>
        </patternFill>
      </fill>
    </dxf>
    <dxf>
      <fill>
        <patternFill>
          <bgColor rgb="FF00B050"/>
        </patternFill>
      </fill>
    </dxf>
    <dxf>
      <fill>
        <patternFill>
          <bgColor rgb="FFFF0000"/>
        </patternFill>
      </fill>
    </dxf>
    <dxf>
      <fill>
        <patternFill patternType="solid">
          <bgColor rgb="FF002060"/>
        </patternFill>
      </fill>
    </dxf>
    <dxf>
      <fill>
        <patternFill>
          <bgColor rgb="FF0070C0"/>
        </patternFill>
      </fill>
    </dxf>
    <dxf>
      <fill>
        <patternFill>
          <bgColor rgb="FF002060"/>
        </patternFill>
      </fill>
    </dxf>
    <dxf>
      <fill>
        <patternFill>
          <bgColor rgb="FF00B050"/>
        </patternFill>
      </fill>
    </dxf>
    <dxf>
      <fill>
        <patternFill>
          <bgColor rgb="FFFF0000"/>
        </patternFill>
      </fill>
    </dxf>
    <dxf>
      <fill>
        <patternFill patternType="solid">
          <bgColor rgb="FF002060"/>
        </patternFill>
      </fill>
    </dxf>
    <dxf>
      <fill>
        <patternFill>
          <bgColor rgb="FF0070C0"/>
        </patternFill>
      </fill>
    </dxf>
    <dxf>
      <fill>
        <patternFill>
          <bgColor rgb="FF002060"/>
        </patternFill>
      </fill>
    </dxf>
    <dxf>
      <fill>
        <patternFill>
          <bgColor rgb="FF00B050"/>
        </patternFill>
      </fill>
    </dxf>
    <dxf>
      <fill>
        <patternFill>
          <bgColor rgb="FFFF0000"/>
        </patternFill>
      </fill>
    </dxf>
    <dxf>
      <fill>
        <patternFill patternType="solid">
          <bgColor rgb="FF002060"/>
        </patternFill>
      </fill>
    </dxf>
    <dxf>
      <fill>
        <patternFill>
          <bgColor rgb="FF0070C0"/>
        </patternFill>
      </fill>
    </dxf>
    <dxf>
      <fill>
        <patternFill>
          <bgColor rgb="FF002060"/>
        </patternFill>
      </fill>
    </dxf>
    <dxf>
      <fill>
        <patternFill>
          <bgColor rgb="FF00B050"/>
        </patternFill>
      </fill>
    </dxf>
    <dxf>
      <fill>
        <patternFill>
          <bgColor rgb="FFFF0000"/>
        </patternFill>
      </fill>
    </dxf>
    <dxf>
      <font>
        <color theme="1"/>
      </font>
      <fill>
        <patternFill>
          <bgColor theme="7"/>
        </patternFill>
      </fill>
    </dxf>
    <dxf>
      <fill>
        <patternFill>
          <fgColor auto="1"/>
          <bgColor rgb="FF00B050"/>
        </patternFill>
      </fill>
    </dxf>
    <dxf>
      <fill>
        <patternFill>
          <fgColor auto="1"/>
          <bgColor rgb="FF002060"/>
        </patternFill>
      </fill>
    </dxf>
    <dxf>
      <fill>
        <patternFill>
          <bgColor rgb="FFFF0000"/>
        </patternFill>
      </fill>
    </dxf>
    <dxf>
      <font>
        <b val="0"/>
        <i val="0"/>
        <strike val="0"/>
        <condense val="0"/>
        <extend val="0"/>
        <outline val="0"/>
        <shadow val="0"/>
        <u val="none"/>
        <vertAlign val="baseline"/>
        <sz val="12"/>
        <color theme="1"/>
        <name val="Calibri"/>
        <family val="2"/>
        <scheme val="minor"/>
      </font>
      <numFmt numFmtId="19" formatCode="d/mm/yyyy"/>
      <alignment horizontal="general" vertical="center"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19" formatCode="d/mm/yyyy"/>
      <alignment horizontal="general" vertical="center"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19" formatCode="d/mm/yyyy"/>
      <alignment horizontal="general" vertical="center"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general" vertical="center"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19" formatCode="d/mm/yyyy"/>
      <alignment horizontal="general" vertical="center"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30" formatCode="@"/>
      <alignment horizontal="general" vertical="center"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general" vertical="center"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19" formatCode="d/mm/yyyy"/>
      <alignment horizontal="general" vertical="center"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19" formatCode="d/mm/yyyy"/>
      <alignment horizontal="general" vertical="center"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19" formatCode="d/mm/yyyy"/>
      <alignment horizontal="center" vertical="center"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general" vertical="center"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30" formatCode="@"/>
      <alignment horizontal="right" vertical="center"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right" vertical="center"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19" formatCode="d/mm/yyyy"/>
      <alignment horizontal="general" vertical="center" textRotation="0" wrapText="0" indent="0" justifyLastLine="0" shrinkToFit="0" readingOrder="0"/>
    </dxf>
    <dxf>
      <font>
        <b val="0"/>
        <i val="0"/>
        <strike val="0"/>
        <condense val="0"/>
        <extend val="0"/>
        <outline val="0"/>
        <shadow val="0"/>
        <u/>
        <vertAlign val="baseline"/>
        <sz val="12"/>
        <color theme="10"/>
        <name val="Calibri"/>
        <family val="2"/>
        <scheme val="minor"/>
      </font>
      <alignment horizontal="general" vertical="center"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general" vertical="center"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general" vertical="center"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general" vertical="center"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auto="1"/>
        </patternFill>
      </fill>
      <alignment horizontal="general" vertical="center"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general" vertical="center"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0" formatCode="General"/>
      <alignment horizontal="center" vertical="center"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0" formatCode="General"/>
      <alignment horizontal="general" vertical="center" textRotation="0" wrapText="0" indent="0" justifyLastLine="0" shrinkToFit="0" readingOrder="0"/>
    </dxf>
    <dxf>
      <font>
        <b/>
        <i val="0"/>
        <strike val="0"/>
        <condense val="0"/>
        <extend val="0"/>
        <outline val="0"/>
        <shadow val="0"/>
        <u val="none"/>
        <vertAlign val="baseline"/>
        <sz val="12"/>
        <color theme="1"/>
        <name val="Calibri"/>
        <family val="2"/>
        <scheme val="minor"/>
      </font>
      <numFmt numFmtId="19" formatCode="d/mm/yyyy"/>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dxf>
    <dxf>
      <numFmt numFmtId="34" formatCode="_-&quot;$&quot;\ * #,##0.00_-;\-&quot;$&quot;\ * #,##0.00_-;_-&quot;$&quot;\ * &quot;-&quot;??_-;_-@_-"/>
    </dxf>
    <dxf>
      <fill>
        <patternFill patternType="none">
          <fgColor indexed="64"/>
          <bgColor auto="1"/>
        </patternFill>
      </fill>
    </dxf>
    <dxf>
      <alignment horizontal="center" vertical="center" textRotation="0" indent="0" justifyLastLine="0" shrinkToFit="0" readingOrder="0"/>
    </dxf>
    <dxf>
      <numFmt numFmtId="164" formatCode="dd/mm/yyyy;@"/>
    </dxf>
    <dxf>
      <numFmt numFmtId="164" formatCode="dd/mm/yyyy;@"/>
    </dxf>
    <dxf>
      <numFmt numFmtId="1" formatCode="0"/>
    </dxf>
    <dxf>
      <numFmt numFmtId="19" formatCode="d/mm/yyyy"/>
    </dxf>
    <dxf>
      <numFmt numFmtId="19" formatCode="d/mm/yyyy"/>
    </dxf>
    <dxf>
      <numFmt numFmtId="19" formatCode="d/mm/yyyy"/>
    </dxf>
    <dxf>
      <alignment horizontal="center" vertical="center" textRotation="0" wrapText="1" indent="0" justifyLastLine="0" shrinkToFit="0" readingOrder="0"/>
    </dxf>
  </dxfs>
  <tableStyles count="0" defaultTableStyle="TableStyleMedium2" defaultPivotStyle="PivotStyleLight16"/>
  <colors>
    <mruColors>
      <color rgb="FF0000CC"/>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microsoft.com/office/2017/06/relationships/rdRichValueStructure" Target="richData/rdrichvaluestructure.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microsoft.com/office/2017/06/relationships/rdRichValue" Target="richData/rdrichvalue.xml"/><Relationship Id="rId33" Type="http://schemas.openxmlformats.org/officeDocument/2006/relationships/customXml" Target="../customXml/item4.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22/10/relationships/richValueRel" Target="richData/richValueRel.xml"/><Relationship Id="rId32"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eetMetadata" Target="metadata.xml"/><Relationship Id="rId28" Type="http://schemas.microsoft.com/office/2017/10/relationships/person" Target="persons/perso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 Id="rId27" Type="http://schemas.microsoft.com/office/2017/06/relationships/rdRichValueTypes" Target="richData/rdRichValueTypes.xml"/><Relationship Id="rId30" Type="http://schemas.openxmlformats.org/officeDocument/2006/relationships/customXml" Target="../customXml/item1.xml"/><Relationship Id="rId8" Type="http://schemas.openxmlformats.org/officeDocument/2006/relationships/worksheet" Target="worksheets/sheet8.xml"/></Relationships>
</file>

<file path=xl/drawings/_rels/drawing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4.xml.rels><?xml version="1.0" encoding="UTF-8" standalone="yes"?>
<Relationships xmlns="http://schemas.openxmlformats.org/package/2006/relationships"><Relationship Id="rId1" Type="http://schemas.openxmlformats.org/officeDocument/2006/relationships/image" Target="../media/image2.jpeg"/></Relationships>
</file>

<file path=xl/drawings/_rels/drawing5.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1</xdr:col>
      <xdr:colOff>28575</xdr:colOff>
      <xdr:row>0</xdr:row>
      <xdr:rowOff>66675</xdr:rowOff>
    </xdr:from>
    <xdr:to>
      <xdr:col>1</xdr:col>
      <xdr:colOff>1362075</xdr:colOff>
      <xdr:row>2</xdr:row>
      <xdr:rowOff>86543</xdr:rowOff>
    </xdr:to>
    <xdr:pic>
      <xdr:nvPicPr>
        <xdr:cNvPr id="4" name="Imagen 3">
          <a:extLst>
            <a:ext uri="{FF2B5EF4-FFF2-40B4-BE49-F238E27FC236}">
              <a16:creationId xmlns:a16="http://schemas.microsoft.com/office/drawing/2014/main" id="{8F620E15-A4C2-477C-80A9-1FBAD242C3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28775" y="66675"/>
          <a:ext cx="1333500" cy="40086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28575</xdr:rowOff>
    </xdr:from>
    <xdr:to>
      <xdr:col>1</xdr:col>
      <xdr:colOff>835025</xdr:colOff>
      <xdr:row>0</xdr:row>
      <xdr:rowOff>189226</xdr:rowOff>
    </xdr:to>
    <xdr:pic>
      <xdr:nvPicPr>
        <xdr:cNvPr id="5" name="Imagen 4">
          <a:extLst>
            <a:ext uri="{FF2B5EF4-FFF2-40B4-BE49-F238E27FC236}">
              <a16:creationId xmlns:a16="http://schemas.microsoft.com/office/drawing/2014/main" id="{F1FCA884-5A6D-42AA-9B7F-4D7E8FE8FF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8575"/>
          <a:ext cx="1333500" cy="40086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28575</xdr:rowOff>
    </xdr:from>
    <xdr:to>
      <xdr:col>1</xdr:col>
      <xdr:colOff>990600</xdr:colOff>
      <xdr:row>2</xdr:row>
      <xdr:rowOff>48443</xdr:rowOff>
    </xdr:to>
    <xdr:pic>
      <xdr:nvPicPr>
        <xdr:cNvPr id="2" name="Imagen 1">
          <a:extLst>
            <a:ext uri="{FF2B5EF4-FFF2-40B4-BE49-F238E27FC236}">
              <a16:creationId xmlns:a16="http://schemas.microsoft.com/office/drawing/2014/main" id="{1C6A40A6-7883-4DDB-AB54-4DEC208A0D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8575"/>
          <a:ext cx="1333500" cy="40086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28575</xdr:rowOff>
    </xdr:from>
    <xdr:to>
      <xdr:col>1</xdr:col>
      <xdr:colOff>828675</xdr:colOff>
      <xdr:row>2</xdr:row>
      <xdr:rowOff>48443</xdr:rowOff>
    </xdr:to>
    <xdr:pic>
      <xdr:nvPicPr>
        <xdr:cNvPr id="2" name="Imagen 1">
          <a:extLst>
            <a:ext uri="{FF2B5EF4-FFF2-40B4-BE49-F238E27FC236}">
              <a16:creationId xmlns:a16="http://schemas.microsoft.com/office/drawing/2014/main" id="{CDD40A9F-BCFE-4126-A1D1-276C9C3C2F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8575"/>
          <a:ext cx="1333500" cy="40086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7</xdr:col>
      <xdr:colOff>41765</xdr:colOff>
      <xdr:row>1</xdr:row>
      <xdr:rowOff>30040</xdr:rowOff>
    </xdr:from>
    <xdr:to>
      <xdr:col>15</xdr:col>
      <xdr:colOff>19050</xdr:colOff>
      <xdr:row>15</xdr:row>
      <xdr:rowOff>142875</xdr:rowOff>
    </xdr:to>
    <xdr:pic>
      <xdr:nvPicPr>
        <xdr:cNvPr id="2" name="Imagen 1">
          <a:extLst>
            <a:ext uri="{FF2B5EF4-FFF2-40B4-BE49-F238E27FC236}">
              <a16:creationId xmlns:a16="http://schemas.microsoft.com/office/drawing/2014/main" id="{A19807EB-0528-4C11-8491-D76FCACA93F6}"/>
            </a:ext>
          </a:extLst>
        </xdr:cNvPr>
        <xdr:cNvPicPr>
          <a:picLocks noChangeAspect="1"/>
        </xdr:cNvPicPr>
      </xdr:nvPicPr>
      <xdr:blipFill>
        <a:blip xmlns:r="http://schemas.openxmlformats.org/officeDocument/2006/relationships" r:embed="rId1"/>
        <a:stretch>
          <a:fillRect/>
        </a:stretch>
      </xdr:blipFill>
      <xdr:spPr>
        <a:xfrm>
          <a:off x="7099790" y="220540"/>
          <a:ext cx="4854085" cy="2789360"/>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file>

<file path=xl/richData/_rels/richValueRel.xml.rels><?xml version="1.0" encoding="UTF-8" standalone="yes"?>
<Relationships xmlns="http://schemas.openxmlformats.org/package/2006/relationships"><Relationship Id="rId1" Type="http://schemas.openxmlformats.org/officeDocument/2006/relationships/image" Target="../media/image1.png"/></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1">
  <rv s="0">
    <v>0</v>
    <v>5</v>
  </rv>
</rvData>
</file>

<file path=xl/richData/rdrichvaluestructure.xml><?xml version="1.0" encoding="utf-8"?>
<rvStructures xmlns="http://schemas.microsoft.com/office/spreadsheetml/2017/richdata" count="1">
  <s t="_localImage">
    <k n="_rvRel:LocalImageIdentifier" t="i"/>
    <k n="CalcOrigin" t="i"/>
  </s>
</rvStructures>
</file>

<file path=xl/richData/richValueRel.xml><?xml version="1.0" encoding="utf-8"?>
<richValueRels xmlns="http://schemas.microsoft.com/office/spreadsheetml/2022/richvaluerel" xmlns:r="http://schemas.openxmlformats.org/officeDocument/2006/relationships">
  <rel r:id="rId1"/>
</richValueRel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8131B62-D5BD-4F10-8C26-F2FCB43E5925}" name="Tabla22" displayName="Tabla22" ref="A1:G3" totalsRowShown="0" headerRowDxfId="190">
  <autoFilter ref="A1:G3" xr:uid="{8309D5CA-96D2-4A58-9E55-25DA15421D59}"/>
  <tableColumns count="7">
    <tableColumn id="1" xr3:uid="{46EC3A49-5E91-438D-BA52-2FCDD558806E}" name="Numero de pedido"/>
    <tableColumn id="2" xr3:uid="{AFDC0BFC-7B2C-468E-BE8C-2C9D9C259BA3}" name="Proyecto"/>
    <tableColumn id="3" xr3:uid="{A5BF4972-BCC9-4E37-96B5-B8154F2FDA0B}" name="Estado acutal"/>
    <tableColumn id="4" xr3:uid="{4CD23229-46C3-4F78-80AB-0A86ED127F77}" name="Fecha Estado" dataDxfId="189"/>
    <tableColumn id="5" xr3:uid="{91C13C44-C545-442B-9918-69628157C7EF}" name="Estado proyectado"/>
    <tableColumn id="6" xr3:uid="{EA3C3FF9-3AE7-46C2-AB80-726BF9AF286A}" name="Fecha de cambio proyectada" dataDxfId="188"/>
    <tableColumn id="7" xr3:uid="{FB4197E7-A598-4887-B983-E0FDB2B46860}" name="Correo" dataDxfId="187"/>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72A132E-0997-480F-97F1-7E8C9103DC89}" name="Tabla3" displayName="Tabla3" ref="A1:L46" totalsRowShown="0">
  <autoFilter ref="A1:L46" xr:uid="{272A132E-0997-480F-97F1-7E8C9103DC89}">
    <filterColumn colId="2">
      <filters blank="1">
        <filter val="Procede a evaluación"/>
        <filter val="Radicado inicial"/>
        <filter val="Recurso de reposición"/>
        <filter val="Solicitud modificación certificado"/>
      </filters>
    </filterColumn>
  </autoFilter>
  <tableColumns count="12">
    <tableColumn id="1" xr3:uid="{183F5D07-C302-406F-9531-B6B8DBBF2218}" name="Radicado Inicial" dataDxfId="186"/>
    <tableColumn id="2" xr3:uid="{515A6315-DAFE-400E-B517-6B014B9F7E80}" name="Proyecto"/>
    <tableColumn id="3" xr3:uid="{1578A2C3-0A9A-4857-9B8C-F1A8C5C7324A}" name="Estado actual"/>
    <tableColumn id="4" xr3:uid="{84DE8BFE-5813-43C4-8DCC-B78566164802}" name="Fecha Estado" dataDxfId="185"/>
    <tableColumn id="5" xr3:uid="{395D45F0-D5C0-4123-8AC7-3E5AF2A0E8EC}" name="Estado proyectado"/>
    <tableColumn id="6" xr3:uid="{9911F25E-153C-4AE5-BD43-712CC0765363}" name="Fecha de cambio proyectada" dataDxfId="184"/>
    <tableColumn id="7" xr3:uid="{16CD9278-EE45-4608-AAAC-1FCD84784C8F}" name="Observaciones"/>
    <tableColumn id="10" xr3:uid="{59865B4F-1FC9-44EF-B1EC-3387B2472CB0}" name="Tipo" dataDxfId="183"/>
    <tableColumn id="9" xr3:uid="{A2AC98FC-6E53-4F83-8A7D-597FAA1D40FB}" name="Valor enviado" dataDxfId="182"/>
    <tableColumn id="8" xr3:uid="{DD0BAE12-4180-4450-86FA-C024739B435D}" name="Valor aprobado " dataDxfId="181"/>
    <tableColumn id="11" xr3:uid="{0B815676-A5B0-44A6-A2AB-4B6F92145456}" name="Diferencia de valor no aprobado"/>
    <tableColumn id="12" xr3:uid="{9E141167-950E-4C46-B188-D5CEF50D7155}" name="Enviado a Provedores"/>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E710230-F0AA-417E-B9E5-B668EA3C59AD}" name="Tabla4" displayName="Tabla4" ref="A1:I22" totalsRowShown="0" headerRowDxfId="180">
  <autoFilter ref="A1:I22" xr:uid="{5E710230-F0AA-417E-B9E5-B668EA3C59AD}"/>
  <tableColumns count="9">
    <tableColumn id="1" xr3:uid="{F4F07839-F63C-4957-987B-5623F53E2924}" name="Proyecto"/>
    <tableColumn id="2" xr3:uid="{33FEA8D2-A6D2-4C4C-8B6D-FCC67889F55A}" name="Precio Cotización + IVA" dataDxfId="179"/>
    <tableColumn id="3" xr3:uid="{6C31E869-2436-4B8A-BB7B-AA0E4F5E14C1}" name="Número de Oferta"/>
    <tableColumn id="4" xr3:uid="{B7C5DE8E-7551-4B7A-9933-78101FDC1095}" name="Aceptación oferta"/>
    <tableColumn id="5" xr3:uid="{BD1E2E24-F674-4886-B786-39DC739E48B6}" name="Pago"/>
    <tableColumn id="6" xr3:uid="{79C2778C-491E-47C0-B84A-DF43025C415A}" name="Programación Visita Técnica"/>
    <tableColumn id="7" xr3:uid="{65ABD912-E776-4AC8-8274-BC0444329C84}" name="Aclaraciones y/o"/>
    <tableColumn id="8" xr3:uid="{C86C49E6-B5C3-4CBF-AB04-49C9491E8841}" name="Fecha dictamen / fin recibido"/>
    <tableColumn id="9" xr3:uid="{A6304E36-D0D0-44CE-BCA3-8E256FBB789F}" name="Proveedor"/>
  </tableColumns>
  <tableStyleInfo name="TableStyleLight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E81C39CE-CDC1-4A41-9FE8-BB170D2C448D}" name="EstadoSolicitudes" displayName="EstadoSolicitudes" ref="A6:W542" totalsRowShown="0" headerRowDxfId="178" dataDxfId="177">
  <autoFilter ref="A6:W542" xr:uid="{E81C39CE-CDC1-4A41-9FE8-BB170D2C448D}">
    <filterColumn colId="10">
      <filters>
        <filter val="15884"/>
      </filters>
    </filterColumn>
  </autoFilter>
  <tableColumns count="23">
    <tableColumn id="1" xr3:uid="{3A8F8666-EC8E-4F1A-BF5E-FD469B1A8766}" name="Item" dataDxfId="176">
      <calculatedColumnFormula>+A6+1</calculatedColumnFormula>
    </tableColumn>
    <tableColumn id="2" xr3:uid="{64AD64E1-7CEC-4587-A71A-3CB52C95F83D}" name="Proyecto" dataDxfId="175"/>
    <tableColumn id="3" xr3:uid="{847E46A1-3296-40A6-9AF6-A0038B716E94}" name="Etapa" dataDxfId="174">
      <calculatedColumnFormula>+IF(EstadoSolicitudes[[#This Row],[Aprobado OR]]="Aprobado",EstadoSolicitudes[[#This Row],[Aprobado OR]],
IF(EstadoSolicitudes[[#This Row],[Aprobado OR]]="Cancelado",EstadoSolicitudes[[#This Row],[Aprobado OR]],
IF(EstadoSolicitudes[[#This Row],[Cargue estudio al OR]]&gt;1,"Verificación Técnica",
IF(EstadoSolicitudes[[#This Row],[Fecha solicitud estudio]]&gt;1,"Estudio de conexión",
IF(EstadoSolicitudes[[#This Row],[Insumos revisados]]="No",IF(EstadoSolicitudes[[#This Row],[Fecha entrega insumos OR]]&gt;1,"Evolti","Espera de insumos"),
"Evolti")))))</calculatedColumnFormula>
    </tableColumn>
    <tableColumn id="4" xr3:uid="{AAF872A4-63AE-4848-89C2-6EE274B9A7DD}" name="OR" dataDxfId="173"/>
    <tableColumn id="23" xr3:uid="{5C24A656-86CE-4D4D-8E1E-51D3663ED55B}" name="Subestacion" dataDxfId="172"/>
    <tableColumn id="22" xr3:uid="{820EED0D-176A-46ED-99C3-76B9E47C33BF}" name="Circuito" dataDxfId="171"/>
    <tableColumn id="6" xr3:uid="{9C958DB9-69D7-473C-8D57-6292F1C90754}" name="Cliente" dataDxfId="170"/>
    <tableColumn id="7" xr3:uid="{CC796354-C743-4E63-9960-A2225C716AEA}" name="NIT" dataDxfId="169"/>
    <tableColumn id="8" xr3:uid="{95EE6CC1-6CAA-4750-9638-2CC8489B3C85}" name="Correo" dataDxfId="168"/>
    <tableColumn id="9" xr3:uid="{BFC1637D-B5D6-4967-BFC2-7CBEB1BE0EF8}" name="Fecha inicio" dataDxfId="167"/>
    <tableColumn id="10" xr3:uid="{5F9F9B28-3559-4D79-AFE0-10BC7A66620D}" name="Código solicitud" dataDxfId="166"/>
    <tableColumn id="11" xr3:uid="{AE03EB55-3943-423F-9358-DE037FA473D4}" name="Código confirmación" dataDxfId="165"/>
    <tableColumn id="12" xr3:uid="{44E931BE-920B-408B-B238-BB73E37FF7A1}" name="Fecha entrega insumos OR" dataDxfId="164"/>
    <tableColumn id="14" xr3:uid="{47E485D0-5292-46AF-AEC7-C0B59D19D3ED}" name="Insumos revisados" dataDxfId="163"/>
    <tableColumn id="15" xr3:uid="{39544497-44B6-4730-AD2F-B8F26F1E5552}" name="Fecha solicitud estudio" dataDxfId="162"/>
    <tableColumn id="17" xr3:uid="{72091069-4297-4B42-853E-465759A96E73}" name="Elabora estudio" dataDxfId="161"/>
    <tableColumn id="16" xr3:uid="{20CA6678-8345-4D37-8B29-E88DBF57D151}" name="Fecha elaboración estudio" dataDxfId="160"/>
    <tableColumn id="13" xr3:uid="{05CBB775-3CB0-47D1-B1B4-873B7CF946CA}" name="Proyectos adicionales ?" dataDxfId="159"/>
    <tableColumn id="18" xr3:uid="{78C75706-C88D-4270-AE0A-569F5EF0CF4D}" name="Cargue estudio al OR" dataDxfId="158"/>
    <tableColumn id="19" xr3:uid="{AA0F04F3-9FB6-4B07-B511-994C78A217A8}" name="Aprobado OR" dataDxfId="157"/>
    <tableColumn id="20" xr3:uid="{D1DE3E3E-4793-4F66-8A66-10FE90954370}" name="Fecha respuesta final OR" dataDxfId="156"/>
    <tableColumn id="21" xr3:uid="{B338AAF6-1545-47E5-9348-317FA052656B}" name="Vigencia" dataDxfId="155"/>
    <tableColumn id="5" xr3:uid="{AD9B1542-BB96-4B2A-B8A8-53B3134F0CB0}" name="Comentario" dataDxfId="154"/>
  </tableColumns>
  <tableStyleInfo name="TableStyleLight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33B57D09-6B14-40B3-88BE-36CAF5E5EE59}" name="registro_solicitudes" displayName="registro_solicitudes" ref="A5:I136" totalsRowShown="0" headerRowDxfId="84" headerRowBorderDxfId="83" tableBorderDxfId="82">
  <autoFilter ref="A5:I136" xr:uid="{33B57D09-6B14-40B3-88BE-36CAF5E5EE59}"/>
  <sortState xmlns:xlrd2="http://schemas.microsoft.com/office/spreadsheetml/2017/richdata2" ref="A6:I136">
    <sortCondition ref="C5:C136"/>
  </sortState>
  <tableColumns count="9">
    <tableColumn id="1" xr3:uid="{AD3510AC-3720-46EF-8F85-CDA5E74C957A}" name="Item" dataDxfId="81"/>
    <tableColumn id="2" xr3:uid="{16155084-2301-4510-804D-B9BD082B8585}" name="Proyecto/Predio_x000a_/Codigo " dataDxfId="80"/>
    <tableColumn id="3" xr3:uid="{94FB46BD-F8D0-48BA-B3CC-D767CDD36D7E}" name="Fecha" dataDxfId="79"/>
    <tableColumn id="4" xr3:uid="{77CC7A76-A94C-496F-AA50-2113FCF136DD}" name="Departamento/_x000a_Región" dataDxfId="78"/>
    <tableColumn id="5" xr3:uid="{01F55ECA-F727-4259-9A69-0488F6F26492}" name="Cuenta con Factura de energia " dataDxfId="77"/>
    <tableColumn id="6" xr3:uid="{F2F896E9-9BBA-4D66-AE92-72EB003C910C}" name="Cuenta con Certificado de tradición y libertad" dataDxfId="76"/>
    <tableColumn id="8" xr3:uid="{A45197BD-76B3-4E81-8FA8-CA79648E05D2}" name="Estado de solicitud " dataDxfId="75"/>
    <tableColumn id="9" xr3:uid="{21CBB867-08AB-4F1D-83B7-C9A9BF1E568D}" name="Responsable" dataDxfId="74"/>
    <tableColumn id="7" xr3:uid="{002844E6-7040-4663-AA8C-FD644480662F}" name="Observaciones " dataDxfId="73"/>
  </tableColumns>
  <tableStyleInfo name="TableStyleLight20"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72138CBE-C36C-4E53-BEF4-3D663D9BE13D}" name="Tabla7910" displayName="Tabla7910" ref="A5:N71" totalsRowShown="0" headerRowDxfId="60" dataDxfId="58" headerRowBorderDxfId="59" tableBorderDxfId="57">
  <autoFilter ref="A5:N71" xr:uid="{33B57D09-6B14-40B3-88BE-36CAF5E5EE59}"/>
  <tableColumns count="14">
    <tableColumn id="1" xr3:uid="{A8861AAF-F34B-4139-9057-6AF9A91D9E58}" name="Item" dataDxfId="56"/>
    <tableColumn id="2" xr3:uid="{3DB54265-EEA5-4C94-9A68-348E8FAA29A0}" name="Proyecto" dataDxfId="55"/>
    <tableColumn id="3" xr3:uid="{FDA7DC14-12B1-40ED-882B-7BA8343FDC56}" name="Fecha de Envio " dataDxfId="54"/>
    <tableColumn id="10" xr3:uid="{79483CA9-36A1-428D-A95E-3EE8E6BB7C7C}" name="Operador de red " dataDxfId="53"/>
    <tableColumn id="4" xr3:uid="{E1319045-7A69-4AD3-B2E3-C6F2871E61F1}" name="Aprobación de diseños electricos y memorias de calculo " dataDxfId="52"/>
    <tableColumn id="5" xr3:uid="{81FA9DE0-52DF-4396-B179-F8AF2D8AC462}" name="Aprobación de estudio de conexión " dataDxfId="51"/>
    <tableColumn id="6" xr3:uid="{3132E9C1-0F14-41EB-83EF-794E206578BA}" name="Fecha limite para recibir el aprobado del proyecto " dataDxfId="50">
      <calculatedColumnFormula>IF(C6="","",WORKDAY(C6,19,$Q$6:$Q$104))</calculatedColumnFormula>
    </tableColumn>
    <tableColumn id="8" xr3:uid="{3FA7B153-9137-4193-92D6-316AD443F48E}" name="Fecha de aprobación del proyecto " dataDxfId="49"/>
    <tableColumn id="13" xr3:uid="{2A9A7420-FC4B-4CCE-8F8C-B388153A092B}" name="Estado del proyecto " dataDxfId="48"/>
    <tableColumn id="9" xr3:uid="{F400FA79-4231-424D-A205-61CEA9D1AE1C}" name="Observaciones " dataDxfId="47"/>
    <tableColumn id="11" xr3:uid="{0B1DA574-A73F-424B-A321-6461BE48C63A}" name="Fecha limite para pedir prorroga " dataDxfId="46">
      <calculatedColumnFormula>IF(H6="","",EDATE(H6,5))</calculatedColumnFormula>
    </tableColumn>
    <tableColumn id="14" xr3:uid="{FB70C443-229B-4CDB-8BB5-3359EF7E7866}" name="¿Se solicito prorroga?" dataDxfId="45"/>
    <tableColumn id="12" xr3:uid="{55BA7556-B34C-4110-898E-5977E0EF1DCE}" name="Fecha limite para conectar el proyecto a la red (sin prorroga)" dataDxfId="44">
      <calculatedColumnFormula>IF(H6="","",EDATE(H6,6))</calculatedColumnFormula>
    </tableColumn>
    <tableColumn id="7" xr3:uid="{21DB6833-B7F6-43F0-8405-AA9CFA7CA807}" name="Fecha limite para conectar el proyecto a la red (con prorroga)" dataDxfId="43">
      <calculatedColumnFormula>IF(L6="si", DATE(YEAR(M6), MONTH(M6)+3, DAY(M6)), "")</calculatedColumnFormula>
    </tableColumn>
  </tableColumns>
  <tableStyleInfo name="TableStyleLight20"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827AA340-28CC-4CE0-AADA-B82BD2D73FC7}" name="Tabla79" displayName="Tabla79" ref="A5:O71" totalsRowShown="0" headerRowDxfId="38" dataDxfId="36" headerRowBorderDxfId="37" tableBorderDxfId="35" totalsRowBorderDxfId="34">
  <autoFilter ref="A5:O71" xr:uid="{33B57D09-6B14-40B3-88BE-36CAF5E5EE59}"/>
  <tableColumns count="15">
    <tableColumn id="1" xr3:uid="{814A7E9C-0056-4009-979C-A933B26F64AE}" name="Item" dataDxfId="33"/>
    <tableColumn id="2" xr3:uid="{83E919A3-2AA9-41C9-948A-1C29B413521A}" name="Proyecto/Predio_x000a_/Codigo " dataDxfId="32"/>
    <tableColumn id="3" xr3:uid="{FFD62801-1638-4F37-9AB8-6022AB6DC85E}" name="Fecha de emisión de los estudios " dataDxfId="31"/>
    <tableColumn id="10" xr3:uid="{EB032A94-3A32-426F-B642-486F71D58635}" name="Proveedor Estudio de conexión " dataDxfId="30"/>
    <tableColumn id="4" xr3:uid="{E24BCBB7-8A18-4B9D-9C70-E2E7714957C0}" name="Operador de Red " dataDxfId="29"/>
    <tableColumn id="5" xr3:uid="{CEBB6B56-AF08-476F-85ED-9348DDE05E77}" name="Subestación " dataDxfId="28"/>
    <tableColumn id="6" xr3:uid="{BA10A9BF-8D1D-4DA0-837F-C790075AE8DB}" name="Circuito al que va conectado el proyecto " dataDxfId="27"/>
    <tableColumn id="8" xr3:uid="{B46F0ADE-D853-499B-A992-BBFE97AC2BB6}" name="Cargabilidad del transformador principal de la subestación " dataDxfId="26"/>
    <tableColumn id="9" xr3:uid="{C9BE0944-11C4-4997-9A6D-9F9DA0D41422}" name="Observaciones sobre las cantidades de proyectos analizados en el estudio de conexión " dataDxfId="25"/>
    <tableColumn id="7" xr3:uid="{4339AA96-6CFB-404B-A0AB-1EF74779A0F8}" name="Fecha limite para presentar proyecto al Operador de red " dataDxfId="24">
      <calculatedColumnFormula>IF(C6="", "", DATE(YEAR(C6), MONTH(C6)+5, DAY(C6)))</calculatedColumnFormula>
    </tableColumn>
    <tableColumn id="12" xr3:uid="{5C8070CC-B7BC-4DC0-BEBF-92164D54FBCA}" name="Estado del proyecto " dataDxfId="23"/>
    <tableColumn id="11" xr3:uid="{AE78E795-0735-4E4C-AFCD-B9A663231B4E}" name="ID Compra" dataDxfId="22"/>
    <tableColumn id="13" xr3:uid="{3AA09B91-4998-4207-85CA-36FB101F91DC}" name="Orden de compra" dataDxfId="21"/>
    <tableColumn id="14" xr3:uid="{92193007-F7C8-4D0A-AB81-F2D0B6B595CD}" name="Precio (antes de IVA)" dataDxfId="20" dataCellStyle="Moneda"/>
    <tableColumn id="15" xr3:uid="{9337722B-9881-456C-8420-341C922B0CC6}" name="Comentario" dataDxfId="19"/>
  </tableColumns>
  <tableStyleInfo name="TableStyleLight20"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DB55315-D206-41E3-913E-7F89EE3FB77A}" name="tiempos" displayName="tiempos" ref="A6:P145" totalsRowShown="0" headerRowDxfId="18">
  <autoFilter ref="A6:P145" xr:uid="{CDB55315-D206-41E3-913E-7F89EE3FB77A}"/>
  <sortState xmlns:xlrd2="http://schemas.microsoft.com/office/spreadsheetml/2017/richdata2" ref="A7:P73">
    <sortCondition ref="A6:A73"/>
  </sortState>
  <tableColumns count="16">
    <tableColumn id="1" xr3:uid="{AFA9C214-9C35-4867-80CD-7F308FDAC497}" name="Item">
      <calculatedColumnFormula>'ESTADO SOLICITUDES'!A7</calculatedColumnFormula>
    </tableColumn>
    <tableColumn id="2" xr3:uid="{9521BB2B-171B-4B58-A525-7F4AAC2356B1}" name="Proyecto">
      <calculatedColumnFormula>'ESTADO SOLICITUDES'!B7</calculatedColumnFormula>
    </tableColumn>
    <tableColumn id="3" xr3:uid="{D25D3293-FD1A-4BBC-AF44-E28A0D9EEDC4}" name="Estado">
      <calculatedColumnFormula>'ESTADO SOLICITUDES'!T7</calculatedColumnFormula>
    </tableColumn>
    <tableColumn id="16" xr3:uid="{6A83AD43-196A-4D03-B55F-1E3C52CEEC07}" name="Codigo" dataDxfId="17">
      <calculatedColumnFormula>'ESTADO SOLICITUDES'!K7</calculatedColumnFormula>
    </tableColumn>
    <tableColumn id="5" xr3:uid="{3AC631BA-87A0-40A4-9001-A2E0B4E88F33}" name="Fecha Inicio solicitud de conexion" dataDxfId="16">
      <calculatedColumnFormula>'ESTADO SOLICITUDES'!J7</calculatedColumnFormula>
    </tableColumn>
    <tableColumn id="7" xr3:uid="{A1C2F2FC-19A6-4A8D-9ABF-8AD745034E6C}" name="Plazo entrega insumos" dataDxfId="15">
      <calculatedColumnFormula>WORKDAY(E7,5)</calculatedColumnFormula>
    </tableColumn>
    <tableColumn id="8" xr3:uid="{C8CDFDF8-AD09-46FB-87E2-A91533B2BB00}" name="Recordatorio insumos" dataDxfId="14"/>
    <tableColumn id="6" xr3:uid="{9DD28AB6-A764-4FAA-8080-C83FAAC96B0B}" name="Fecha insumos recibidos" dataDxfId="13">
      <calculatedColumnFormula>'ESTADO SOLICITUDES'!M7</calculatedColumnFormula>
    </tableColumn>
    <tableColumn id="4" xr3:uid="{209612A9-037D-488E-8C50-4BFFBCB079A8}" name="Plazo Estudio de conexion simplificado " dataDxfId="12">
      <calculatedColumnFormula>IF(H7=0, TODAY() + 140, H7 + 140)</calculatedColumnFormula>
    </tableColumn>
    <tableColumn id="11" xr3:uid="{C4E03A1E-C6DB-4081-93C9-6EDC5CD565FF}" name="Envio Estudio de conexion simplificado " dataDxfId="11">
      <calculatedColumnFormula>+EstadoSolicitudes[[#This Row],[Cargue estudio al OR]]</calculatedColumnFormula>
    </tableColumn>
    <tableColumn id="9" xr3:uid="{640634A8-DD7D-4CD1-876B-792D96DCDCB4}" name="Plazo Verificación técnica de la documentación" dataDxfId="10">
      <calculatedColumnFormula>WORKDAY(IF(J7=0, I7, J7), 10)</calculatedColumnFormula>
    </tableColumn>
    <tableColumn id="12" xr3:uid="{A0121AE9-FAA6-4396-A983-7E4B3737815B}" name="Llegada de verificación técnica de la documentación" dataDxfId="9"/>
    <tableColumn id="15" xr3:uid="{9662B92D-C620-49BC-92F3-B6896446C622}" name="Vigencia OR" dataDxfId="8">
      <calculatedColumnFormula>+EstadoSolicitudes[[#This Row],[Vigencia]]</calculatedColumnFormula>
    </tableColumn>
    <tableColumn id="10" xr3:uid="{F65C1BDF-5F9C-4B0D-869D-73FDDE010881}" name="Plazo de la conexión (sin prorroga)" dataDxfId="7">
      <calculatedColumnFormula>+IF(tiempos[[#This Row],[Vigencia OR]]=0,(tiempos[[#This Row],[Plazo Verificación técnica de la documentación]]+175),tiempos[[#This Row],[Vigencia OR]])</calculatedColumnFormula>
    </tableColumn>
    <tableColumn id="14" xr3:uid="{17168270-C59B-4FFC-AA82-B861614565EE}" name="Plazo conexión (Con prorroga)" dataDxfId="6">
      <calculatedColumnFormula>+tiempos[[#This Row],[Plazo de la conexión (sin prorroga)]]+90</calculatedColumnFormula>
    </tableColumn>
    <tableColumn id="13" xr3:uid="{FCF45C9F-CF27-4B7D-8642-B3080D36677E}" name="Dia conexión" dataDxfId="5"/>
  </tableColumns>
  <tableStyleInfo name="TableStyleLight9" showFirstColumn="0" showLastColumn="0" showRowStripes="1" showColumnStripes="0"/>
</table>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hyperlink" Target="mailto:juan.castrillon@evolti.co" TargetMode="External"/></Relationships>
</file>

<file path=xl/worksheets/_rels/sheet11.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5.bin"/></Relationships>
</file>

<file path=xl/worksheets/_rels/sheet12.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1" Type="http://schemas.openxmlformats.org/officeDocument/2006/relationships/table" Target="../tables/table7.xml"/></Relationships>
</file>

<file path=xl/worksheets/_rels/sheet14.xml.rels><?xml version="1.0" encoding="UTF-8" standalone="yes"?>
<Relationships xmlns="http://schemas.openxmlformats.org/package/2006/relationships"><Relationship Id="rId13" Type="http://schemas.openxmlformats.org/officeDocument/2006/relationships/hyperlink" Target="mailto:autogeneradores@celsia.com" TargetMode="External"/><Relationship Id="rId18" Type="http://schemas.openxmlformats.org/officeDocument/2006/relationships/hyperlink" Target="https://www.essa.com.co/site/clientes/hogar/tramites-y-servicios-hogar/autogeneracion" TargetMode="External"/><Relationship Id="rId26" Type="http://schemas.openxmlformats.org/officeDocument/2006/relationships/hyperlink" Target="mailto:gdconect@cedenar.com.co" TargetMode="External"/><Relationship Id="rId3" Type="http://schemas.openxmlformats.org/officeDocument/2006/relationships/hyperlink" Target="http://35.188.201.15/cedenar_generacion_distribuida/%20o%20http:/34.56.121.192/cedenar_generacion_distribuida/" TargetMode="External"/><Relationship Id="rId21" Type="http://schemas.openxmlformats.org/officeDocument/2006/relationships/hyperlink" Target="mailto:EstructuracionGD@evolti.co" TargetMode="External"/><Relationship Id="rId34" Type="http://schemas.openxmlformats.org/officeDocument/2006/relationships/printerSettings" Target="../printerSettings/printerSettings7.bin"/><Relationship Id="rId7" Type="http://schemas.openxmlformats.org/officeDocument/2006/relationships/hyperlink" Target="http://35.184.36.98/eh_generacion_distribuida/" TargetMode="External"/><Relationship Id="rId12" Type="http://schemas.openxmlformats.org/officeDocument/2006/relationships/hyperlink" Target="mailto:provisiondeservicios@ceoesp.com" TargetMode="External"/><Relationship Id="rId17" Type="http://schemas.openxmlformats.org/officeDocument/2006/relationships/hyperlink" Target="mailto:autogeneracionygd@air-e.com" TargetMode="External"/><Relationship Id="rId25" Type="http://schemas.openxmlformats.org/officeDocument/2006/relationships/hyperlink" Target="mailto:eebp@eebpsa.com.co" TargetMode="External"/><Relationship Id="rId33" Type="http://schemas.openxmlformats.org/officeDocument/2006/relationships/hyperlink" Target="https://www.emcali.com.co/web/servicios/autogeneracion/consultar-disponibilidad" TargetMode="External"/><Relationship Id="rId2" Type="http://schemas.openxmlformats.org/officeDocument/2006/relationships/hyperlink" Target="https://maps.epm.com.co/ETER/Visor/Visor" TargetMode="External"/><Relationship Id="rId16" Type="http://schemas.openxmlformats.org/officeDocument/2006/relationships/hyperlink" Target="mailto:gestion.agygd@afinia.com.co" TargetMode="External"/><Relationship Id="rId20" Type="http://schemas.openxmlformats.org/officeDocument/2006/relationships/hyperlink" Target="https://energiapereira.eep.com.co/Autogeneradores/" TargetMode="External"/><Relationship Id="rId29" Type="http://schemas.openxmlformats.org/officeDocument/2006/relationships/hyperlink" Target="mailto:EstructuracionGD@evolti.co" TargetMode="External"/><Relationship Id="rId1" Type="http://schemas.openxmlformats.org/officeDocument/2006/relationships/hyperlink" Target="https://arcgisportal.ceoesp.com.co/visordisponibilidad/" TargetMode="External"/><Relationship Id="rId6" Type="http://schemas.openxmlformats.org/officeDocument/2006/relationships/hyperlink" Target="https://nube.celsia.com:4443/autogeneradores/login" TargetMode="External"/><Relationship Id="rId11" Type="http://schemas.openxmlformats.org/officeDocument/2006/relationships/hyperlink" Target="mailto:EstructuracionGD@evolti.co" TargetMode="External"/><Relationship Id="rId24" Type="http://schemas.openxmlformats.org/officeDocument/2006/relationships/hyperlink" Target="https://eebpsa.com.co/atencion-al-usuario/" TargetMode="External"/><Relationship Id="rId32" Type="http://schemas.openxmlformats.org/officeDocument/2006/relationships/hyperlink" Target="mailto:EstructuracionGD@evolti.co" TargetMode="External"/><Relationship Id="rId5" Type="http://schemas.openxmlformats.org/officeDocument/2006/relationships/hyperlink" Target="https://servicios.energiacaribemar.co/Autogeneracion/" TargetMode="External"/><Relationship Id="rId15" Type="http://schemas.openxmlformats.org/officeDocument/2006/relationships/hyperlink" Target="mailto:EstructuracionGD@evolti.co" TargetMode="External"/><Relationship Id="rId23" Type="http://schemas.openxmlformats.org/officeDocument/2006/relationships/hyperlink" Target="mailto:EstructuracionGD@evolti.co" TargetMode="External"/><Relationship Id="rId28" Type="http://schemas.openxmlformats.org/officeDocument/2006/relationships/hyperlink" Target="mailto:EstructuracionGD@evolti.co" TargetMode="External"/><Relationship Id="rId10" Type="http://schemas.openxmlformats.org/officeDocument/2006/relationships/hyperlink" Target="http://35.193.94.55/emsa_generacion_distribuida/" TargetMode="External"/><Relationship Id="rId19" Type="http://schemas.openxmlformats.org/officeDocument/2006/relationships/hyperlink" Target="mailto:autogeneradores@essa.com.co" TargetMode="External"/><Relationship Id="rId31" Type="http://schemas.openxmlformats.org/officeDocument/2006/relationships/hyperlink" Target="mailto:prof4.planeamiento@enerca.com.co" TargetMode="External"/><Relationship Id="rId4" Type="http://schemas.openxmlformats.org/officeDocument/2006/relationships/hyperlink" Target="https://servicios.air-e.com/CREG030/" TargetMode="External"/><Relationship Id="rId9" Type="http://schemas.openxmlformats.org/officeDocument/2006/relationships/hyperlink" Target="http://35.192.191.188/ebsa_generacion_distribuida/" TargetMode="External"/><Relationship Id="rId14" Type="http://schemas.openxmlformats.org/officeDocument/2006/relationships/hyperlink" Target="https://www.chec.com.co/Home/Clientes-y-comunidad/Clientes/Clientes-Hogares/Sobre-el-servicio/Usuarios-Autogeneradores-y-Generadores-Distribuidos" TargetMode="External"/><Relationship Id="rId22" Type="http://schemas.openxmlformats.org/officeDocument/2006/relationships/hyperlink" Target="mailto:EstructuracionGD@evolti.co" TargetMode="External"/><Relationship Id="rId27" Type="http://schemas.openxmlformats.org/officeDocument/2006/relationships/hyperlink" Target="https://sedeelectronica.edeq.com.co/" TargetMode="External"/><Relationship Id="rId30" Type="http://schemas.openxmlformats.org/officeDocument/2006/relationships/hyperlink" Target="http://34.68.97.30/solicitante/" TargetMode="External"/><Relationship Id="rId35" Type="http://schemas.openxmlformats.org/officeDocument/2006/relationships/drawing" Target="../drawings/drawing3.xml"/><Relationship Id="rId8" Type="http://schemas.openxmlformats.org/officeDocument/2006/relationships/hyperlink" Target="https://www.enel.com.co/es/solicitud-autogeneradores.html" TargetMode="External"/></Relationships>
</file>

<file path=xl/worksheets/_rels/sheet1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4.xml"/><Relationship Id="rId1" Type="http://schemas.openxmlformats.org/officeDocument/2006/relationships/printerSettings" Target="../printerSettings/printerSettings8.bin"/><Relationship Id="rId5" Type="http://schemas.openxmlformats.org/officeDocument/2006/relationships/comments" Target="../comments1.xml"/><Relationship Id="rId4" Type="http://schemas.openxmlformats.org/officeDocument/2006/relationships/table" Target="../tables/table8.xm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17" Type="http://schemas.openxmlformats.org/officeDocument/2006/relationships/hyperlink" Target="mailto:julian.gomez@evolti.co" TargetMode="External"/><Relationship Id="rId21" Type="http://schemas.openxmlformats.org/officeDocument/2006/relationships/hyperlink" Target="mailto:EstructuracionGD@evolti.co" TargetMode="External"/><Relationship Id="rId42" Type="http://schemas.openxmlformats.org/officeDocument/2006/relationships/hyperlink" Target="mailto:EstructuracionGD@evolti.co" TargetMode="External"/><Relationship Id="rId63" Type="http://schemas.openxmlformats.org/officeDocument/2006/relationships/hyperlink" Target="mailto:EstructuracionGD2@evolti.co" TargetMode="External"/><Relationship Id="rId84" Type="http://schemas.openxmlformats.org/officeDocument/2006/relationships/hyperlink" Target="mailto:EstructuracionGD2@evolti.co" TargetMode="External"/><Relationship Id="rId138" Type="http://schemas.openxmlformats.org/officeDocument/2006/relationships/hyperlink" Target="mailto:EstructuracionGD@evolti.co" TargetMode="External"/><Relationship Id="rId159" Type="http://schemas.openxmlformats.org/officeDocument/2006/relationships/hyperlink" Target="mailto:EstructuracionGD2@evolti.co" TargetMode="External"/><Relationship Id="rId170" Type="http://schemas.openxmlformats.org/officeDocument/2006/relationships/hyperlink" Target="mailto:EstructuracionGD@evolti.co" TargetMode="External"/><Relationship Id="rId107" Type="http://schemas.openxmlformats.org/officeDocument/2006/relationships/hyperlink" Target="mailto:carlos.cabrera@evolti.co" TargetMode="External"/><Relationship Id="rId11" Type="http://schemas.openxmlformats.org/officeDocument/2006/relationships/hyperlink" Target="mailto:EstructuracionGD@evolti.co" TargetMode="External"/><Relationship Id="rId32" Type="http://schemas.openxmlformats.org/officeDocument/2006/relationships/hyperlink" Target="mailto:EstructuracionGD2@evolti.co" TargetMode="External"/><Relationship Id="rId53" Type="http://schemas.openxmlformats.org/officeDocument/2006/relationships/hyperlink" Target="mailto:EstructuracionGD2@evolti.co" TargetMode="External"/><Relationship Id="rId74" Type="http://schemas.openxmlformats.org/officeDocument/2006/relationships/hyperlink" Target="mailto:EstructuracionGD2@evolti.co" TargetMode="External"/><Relationship Id="rId128" Type="http://schemas.openxmlformats.org/officeDocument/2006/relationships/hyperlink" Target="mailto:EstructuracionGD2@evolti.co" TargetMode="External"/><Relationship Id="rId149" Type="http://schemas.openxmlformats.org/officeDocument/2006/relationships/hyperlink" Target="mailto:EstructuracionGD@evolti.co" TargetMode="External"/><Relationship Id="rId5" Type="http://schemas.openxmlformats.org/officeDocument/2006/relationships/hyperlink" Target="mailto:jeison.ipiales@evolti.co" TargetMode="External"/><Relationship Id="rId95" Type="http://schemas.openxmlformats.org/officeDocument/2006/relationships/hyperlink" Target="mailto:EstructuracionGD2@evolti.co" TargetMode="External"/><Relationship Id="rId160" Type="http://schemas.openxmlformats.org/officeDocument/2006/relationships/hyperlink" Target="mailto:EstructuracionGD2@evolti.co" TargetMode="External"/><Relationship Id="rId22" Type="http://schemas.openxmlformats.org/officeDocument/2006/relationships/hyperlink" Target="mailto:EstructuracionGD2@evolti.co" TargetMode="External"/><Relationship Id="rId43" Type="http://schemas.openxmlformats.org/officeDocument/2006/relationships/hyperlink" Target="mailto:EstructuracionGD2@evolti.co" TargetMode="External"/><Relationship Id="rId64" Type="http://schemas.openxmlformats.org/officeDocument/2006/relationships/hyperlink" Target="mailto:daniela.timaran@evolti.co" TargetMode="External"/><Relationship Id="rId118" Type="http://schemas.openxmlformats.org/officeDocument/2006/relationships/hyperlink" Target="mailto:EstructuracionG2@evolti.co" TargetMode="External"/><Relationship Id="rId139" Type="http://schemas.openxmlformats.org/officeDocument/2006/relationships/hyperlink" Target="mailto:EstructuracionGD@evolti.co" TargetMode="External"/><Relationship Id="rId85" Type="http://schemas.openxmlformats.org/officeDocument/2006/relationships/hyperlink" Target="mailto:carlos.cabrera@evolti.co" TargetMode="External"/><Relationship Id="rId150" Type="http://schemas.openxmlformats.org/officeDocument/2006/relationships/hyperlink" Target="mailto:EstructuracionGD@evolti.co" TargetMode="External"/><Relationship Id="rId171" Type="http://schemas.openxmlformats.org/officeDocument/2006/relationships/hyperlink" Target="mailto:EstructuracionGD@evolti.co" TargetMode="External"/><Relationship Id="rId12" Type="http://schemas.openxmlformats.org/officeDocument/2006/relationships/hyperlink" Target="mailto:EstructuracionGD@evolti.co" TargetMode="External"/><Relationship Id="rId33" Type="http://schemas.openxmlformats.org/officeDocument/2006/relationships/hyperlink" Target="mailto:moises.ruiz@evolti.co" TargetMode="External"/><Relationship Id="rId108" Type="http://schemas.openxmlformats.org/officeDocument/2006/relationships/hyperlink" Target="mailto:EstructuracionGD@evolti.co" TargetMode="External"/><Relationship Id="rId129" Type="http://schemas.openxmlformats.org/officeDocument/2006/relationships/hyperlink" Target="mailto:julian.gomez@evolti.co" TargetMode="External"/><Relationship Id="rId54" Type="http://schemas.openxmlformats.org/officeDocument/2006/relationships/hyperlink" Target="mailto:julian.gomez@evolti.co" TargetMode="External"/><Relationship Id="rId75" Type="http://schemas.openxmlformats.org/officeDocument/2006/relationships/hyperlink" Target="mailto:daniela.timaran@evolti.co" TargetMode="External"/><Relationship Id="rId96" Type="http://schemas.openxmlformats.org/officeDocument/2006/relationships/hyperlink" Target="mailto:julian.gomez@evolti.co" TargetMode="External"/><Relationship Id="rId140" Type="http://schemas.openxmlformats.org/officeDocument/2006/relationships/hyperlink" Target="mailto:EstructuracionGD@evolti.co" TargetMode="External"/><Relationship Id="rId161" Type="http://schemas.openxmlformats.org/officeDocument/2006/relationships/hyperlink" Target="mailto:EstructuracionGD@evolti.co" TargetMode="External"/><Relationship Id="rId6" Type="http://schemas.openxmlformats.org/officeDocument/2006/relationships/hyperlink" Target="mailto:jeison.ipiales@evolti.co" TargetMode="External"/><Relationship Id="rId23" Type="http://schemas.openxmlformats.org/officeDocument/2006/relationships/hyperlink" Target="mailto:EstructuracionGD2@evolti.co" TargetMode="External"/><Relationship Id="rId28" Type="http://schemas.openxmlformats.org/officeDocument/2006/relationships/hyperlink" Target="mailto:EstructuracionGD2@evolti.co" TargetMode="External"/><Relationship Id="rId49" Type="http://schemas.openxmlformats.org/officeDocument/2006/relationships/hyperlink" Target="mailto:EstructuracionGD2@evolti.co" TargetMode="External"/><Relationship Id="rId114" Type="http://schemas.openxmlformats.org/officeDocument/2006/relationships/hyperlink" Target="mailto:fabian.florez@evolti.co" TargetMode="External"/><Relationship Id="rId119" Type="http://schemas.openxmlformats.org/officeDocument/2006/relationships/hyperlink" Target="mailto:julian.gomez@evolti.co" TargetMode="External"/><Relationship Id="rId44" Type="http://schemas.openxmlformats.org/officeDocument/2006/relationships/hyperlink" Target="mailto:daniela.timaran@evolti.co" TargetMode="External"/><Relationship Id="rId60" Type="http://schemas.openxmlformats.org/officeDocument/2006/relationships/hyperlink" Target="mailto:moises.ruiz@evolti.co" TargetMode="External"/><Relationship Id="rId65" Type="http://schemas.openxmlformats.org/officeDocument/2006/relationships/hyperlink" Target="mailto:EstructuracionGD2@evolti.co" TargetMode="External"/><Relationship Id="rId81" Type="http://schemas.openxmlformats.org/officeDocument/2006/relationships/hyperlink" Target="mailto:daniela.timaran@evolti.co" TargetMode="External"/><Relationship Id="rId86" Type="http://schemas.openxmlformats.org/officeDocument/2006/relationships/hyperlink" Target="mailto:daniela.timaran@evolti.co" TargetMode="External"/><Relationship Id="rId130" Type="http://schemas.openxmlformats.org/officeDocument/2006/relationships/hyperlink" Target="mailto:EstructuracionGD2@evolti.co" TargetMode="External"/><Relationship Id="rId135" Type="http://schemas.openxmlformats.org/officeDocument/2006/relationships/hyperlink" Target="mailto:julian.gomez@evolti.co" TargetMode="External"/><Relationship Id="rId151" Type="http://schemas.openxmlformats.org/officeDocument/2006/relationships/hyperlink" Target="mailto:EstructuracionGD@evolti.co" TargetMode="External"/><Relationship Id="rId156" Type="http://schemas.openxmlformats.org/officeDocument/2006/relationships/hyperlink" Target="mailto:EstructuracionGD2@evolti.co" TargetMode="External"/><Relationship Id="rId177" Type="http://schemas.openxmlformats.org/officeDocument/2006/relationships/drawing" Target="../drawings/drawing2.xml"/><Relationship Id="rId172" Type="http://schemas.openxmlformats.org/officeDocument/2006/relationships/hyperlink" Target="mailto:EstructuracionGD@evolti.co" TargetMode="External"/><Relationship Id="rId13" Type="http://schemas.openxmlformats.org/officeDocument/2006/relationships/hyperlink" Target="mailto:EstructuracionGD@evolti.co" TargetMode="External"/><Relationship Id="rId18" Type="http://schemas.openxmlformats.org/officeDocument/2006/relationships/hyperlink" Target="mailto:EstructuracionGD@evolti.co" TargetMode="External"/><Relationship Id="rId39" Type="http://schemas.openxmlformats.org/officeDocument/2006/relationships/hyperlink" Target="mailto:daniela.timaran@evolti.co" TargetMode="External"/><Relationship Id="rId109" Type="http://schemas.openxmlformats.org/officeDocument/2006/relationships/hyperlink" Target="mailto:EstructuracionGD@evolti.co" TargetMode="External"/><Relationship Id="rId34" Type="http://schemas.openxmlformats.org/officeDocument/2006/relationships/hyperlink" Target="mailto:EstructuracionGD2@evolti.co" TargetMode="External"/><Relationship Id="rId50" Type="http://schemas.openxmlformats.org/officeDocument/2006/relationships/hyperlink" Target="mailto:julian.gomez@evolti.co" TargetMode="External"/><Relationship Id="rId55" Type="http://schemas.openxmlformats.org/officeDocument/2006/relationships/hyperlink" Target="mailto:EstructuracionGD@evolti.co" TargetMode="External"/><Relationship Id="rId76" Type="http://schemas.openxmlformats.org/officeDocument/2006/relationships/hyperlink" Target="mailto:EstructuracionGD@evolti.co" TargetMode="External"/><Relationship Id="rId97" Type="http://schemas.openxmlformats.org/officeDocument/2006/relationships/hyperlink" Target="mailto:EstructuracionGD2@evolti.co" TargetMode="External"/><Relationship Id="rId104" Type="http://schemas.openxmlformats.org/officeDocument/2006/relationships/hyperlink" Target="mailto:fabian.florez@evolti.co" TargetMode="External"/><Relationship Id="rId120" Type="http://schemas.openxmlformats.org/officeDocument/2006/relationships/hyperlink" Target="mailto:EstructuracionG2@evolti.co" TargetMode="External"/><Relationship Id="rId125" Type="http://schemas.openxmlformats.org/officeDocument/2006/relationships/hyperlink" Target="mailto:julian.gomez@evolti.co" TargetMode="External"/><Relationship Id="rId141" Type="http://schemas.openxmlformats.org/officeDocument/2006/relationships/hyperlink" Target="mailto:EstructuracionGD@evolti.co" TargetMode="External"/><Relationship Id="rId146" Type="http://schemas.openxmlformats.org/officeDocument/2006/relationships/hyperlink" Target="mailto:EstructuracionGD2@evolti.co" TargetMode="External"/><Relationship Id="rId167" Type="http://schemas.openxmlformats.org/officeDocument/2006/relationships/hyperlink" Target="mailto:EstructuracionGD@evolti.co" TargetMode="External"/><Relationship Id="rId7" Type="http://schemas.openxmlformats.org/officeDocument/2006/relationships/hyperlink" Target="mailto:EstructuracionGD@evolti.co" TargetMode="External"/><Relationship Id="rId71" Type="http://schemas.openxmlformats.org/officeDocument/2006/relationships/hyperlink" Target="mailto:julian.gomez@evolti.co" TargetMode="External"/><Relationship Id="rId92" Type="http://schemas.openxmlformats.org/officeDocument/2006/relationships/hyperlink" Target="mailto:EstructuracionGD2@evolti.co" TargetMode="External"/><Relationship Id="rId162" Type="http://schemas.openxmlformats.org/officeDocument/2006/relationships/hyperlink" Target="mailto:EstructuracionGD@evolti.co" TargetMode="External"/><Relationship Id="rId2" Type="http://schemas.openxmlformats.org/officeDocument/2006/relationships/hyperlink" Target="mailto:gerencia@evolti.co" TargetMode="External"/><Relationship Id="rId29" Type="http://schemas.openxmlformats.org/officeDocument/2006/relationships/hyperlink" Target="mailto:EstructuracionGD@evolti.co" TargetMode="External"/><Relationship Id="rId24" Type="http://schemas.openxmlformats.org/officeDocument/2006/relationships/hyperlink" Target="mailto:EstructuracionGD2@evolti.co" TargetMode="External"/><Relationship Id="rId40" Type="http://schemas.openxmlformats.org/officeDocument/2006/relationships/hyperlink" Target="mailto:EstructuracionGD2@evolti.co" TargetMode="External"/><Relationship Id="rId45" Type="http://schemas.openxmlformats.org/officeDocument/2006/relationships/hyperlink" Target="mailto:EstructuracionGD@evolti.co" TargetMode="External"/><Relationship Id="rId66" Type="http://schemas.openxmlformats.org/officeDocument/2006/relationships/hyperlink" Target="mailto:julian.gomez@evolti.co" TargetMode="External"/><Relationship Id="rId87" Type="http://schemas.openxmlformats.org/officeDocument/2006/relationships/hyperlink" Target="mailto:daniela.timaran@evolti.co" TargetMode="External"/><Relationship Id="rId110" Type="http://schemas.openxmlformats.org/officeDocument/2006/relationships/hyperlink" Target="mailto:carlos.cabrera@evolti.co" TargetMode="External"/><Relationship Id="rId115" Type="http://schemas.openxmlformats.org/officeDocument/2006/relationships/hyperlink" Target="mailto:fabian.florez@evolti.co" TargetMode="External"/><Relationship Id="rId131" Type="http://schemas.openxmlformats.org/officeDocument/2006/relationships/hyperlink" Target="mailto:julian.gomez@evolti.co" TargetMode="External"/><Relationship Id="rId136" Type="http://schemas.openxmlformats.org/officeDocument/2006/relationships/hyperlink" Target="mailto:EstructuracionGD@evolti.co" TargetMode="External"/><Relationship Id="rId157" Type="http://schemas.openxmlformats.org/officeDocument/2006/relationships/hyperlink" Target="mailto:EstructuracionGD@evolti.co" TargetMode="External"/><Relationship Id="rId178" Type="http://schemas.openxmlformats.org/officeDocument/2006/relationships/table" Target="../tables/table4.xml"/><Relationship Id="rId61" Type="http://schemas.openxmlformats.org/officeDocument/2006/relationships/hyperlink" Target="mailto:EstructuracionGD2@evolti.co" TargetMode="External"/><Relationship Id="rId82" Type="http://schemas.openxmlformats.org/officeDocument/2006/relationships/hyperlink" Target="mailto:EstructuracionGD2@evolti.co" TargetMode="External"/><Relationship Id="rId152" Type="http://schemas.openxmlformats.org/officeDocument/2006/relationships/hyperlink" Target="mailto:EstructuracionGD@evolti.co" TargetMode="External"/><Relationship Id="rId173" Type="http://schemas.openxmlformats.org/officeDocument/2006/relationships/hyperlink" Target="mailto:daniela.timaran@evolti.co" TargetMode="External"/><Relationship Id="rId19" Type="http://schemas.openxmlformats.org/officeDocument/2006/relationships/hyperlink" Target="mailto:EstructuracionGD2@evolti.co" TargetMode="External"/><Relationship Id="rId14" Type="http://schemas.openxmlformats.org/officeDocument/2006/relationships/hyperlink" Target="mailto:EstructuracionGD2@evolti.co" TargetMode="External"/><Relationship Id="rId30" Type="http://schemas.openxmlformats.org/officeDocument/2006/relationships/hyperlink" Target="mailto:EstructuracionGD@evolti.co" TargetMode="External"/><Relationship Id="rId35" Type="http://schemas.openxmlformats.org/officeDocument/2006/relationships/hyperlink" Target="mailto:moises.ruiz@evolti.co" TargetMode="External"/><Relationship Id="rId56" Type="http://schemas.openxmlformats.org/officeDocument/2006/relationships/hyperlink" Target="mailto:EstructuracionGD@evolti.co" TargetMode="External"/><Relationship Id="rId77" Type="http://schemas.openxmlformats.org/officeDocument/2006/relationships/hyperlink" Target="mailto:EstructuracionGD@evolti.co" TargetMode="External"/><Relationship Id="rId100" Type="http://schemas.openxmlformats.org/officeDocument/2006/relationships/hyperlink" Target="mailto:EstructuracionGD2@evolti.co" TargetMode="External"/><Relationship Id="rId105" Type="http://schemas.openxmlformats.org/officeDocument/2006/relationships/hyperlink" Target="mailto:EstructuracionGD@evolti.co" TargetMode="External"/><Relationship Id="rId126" Type="http://schemas.openxmlformats.org/officeDocument/2006/relationships/hyperlink" Target="mailto:EstructuracionGD2@evolti.co" TargetMode="External"/><Relationship Id="rId147" Type="http://schemas.openxmlformats.org/officeDocument/2006/relationships/hyperlink" Target="mailto:julian.gomez@evolti.co" TargetMode="External"/><Relationship Id="rId168" Type="http://schemas.openxmlformats.org/officeDocument/2006/relationships/hyperlink" Target="mailto:EstructuracionGD@evolti.co" TargetMode="External"/><Relationship Id="rId8" Type="http://schemas.openxmlformats.org/officeDocument/2006/relationships/hyperlink" Target="mailto:EstructuracionGD@evolti.co" TargetMode="External"/><Relationship Id="rId51" Type="http://schemas.openxmlformats.org/officeDocument/2006/relationships/hyperlink" Target="mailto:EstructuracionGD2@evolti.co" TargetMode="External"/><Relationship Id="rId72" Type="http://schemas.openxmlformats.org/officeDocument/2006/relationships/hyperlink" Target="mailto:fabian.florez@evolti.co" TargetMode="External"/><Relationship Id="rId93" Type="http://schemas.openxmlformats.org/officeDocument/2006/relationships/hyperlink" Target="mailto:EstructuracionGD2@evolti.co" TargetMode="External"/><Relationship Id="rId98" Type="http://schemas.openxmlformats.org/officeDocument/2006/relationships/hyperlink" Target="mailto:carlos.cabrera@evolti.co" TargetMode="External"/><Relationship Id="rId121" Type="http://schemas.openxmlformats.org/officeDocument/2006/relationships/hyperlink" Target="mailto:carlos.cabrera@evolti.co" TargetMode="External"/><Relationship Id="rId142" Type="http://schemas.openxmlformats.org/officeDocument/2006/relationships/hyperlink" Target="mailto:EstructuracionGD@evolti.co" TargetMode="External"/><Relationship Id="rId163" Type="http://schemas.openxmlformats.org/officeDocument/2006/relationships/hyperlink" Target="mailto:EstructuracionGD@evolti.co" TargetMode="External"/><Relationship Id="rId3" Type="http://schemas.openxmlformats.org/officeDocument/2006/relationships/hyperlink" Target="mailto:fernando.paniagua@evolti.co" TargetMode="External"/><Relationship Id="rId25" Type="http://schemas.openxmlformats.org/officeDocument/2006/relationships/hyperlink" Target="mailto:EstructuracionGD2@evolti.co" TargetMode="External"/><Relationship Id="rId46" Type="http://schemas.openxmlformats.org/officeDocument/2006/relationships/hyperlink" Target="mailto:EstructuracionGD2@evolti.co" TargetMode="External"/><Relationship Id="rId67" Type="http://schemas.openxmlformats.org/officeDocument/2006/relationships/hyperlink" Target="mailto:EstructuracionGD2@evolti.co" TargetMode="External"/><Relationship Id="rId116" Type="http://schemas.openxmlformats.org/officeDocument/2006/relationships/hyperlink" Target="mailto:fabian.florez@evolti.co" TargetMode="External"/><Relationship Id="rId137" Type="http://schemas.openxmlformats.org/officeDocument/2006/relationships/hyperlink" Target="mailto:EstructuracionGD@evolti.co" TargetMode="External"/><Relationship Id="rId158" Type="http://schemas.openxmlformats.org/officeDocument/2006/relationships/hyperlink" Target="mailto:EstructuracionGD2@evolti.co" TargetMode="External"/><Relationship Id="rId20" Type="http://schemas.openxmlformats.org/officeDocument/2006/relationships/hyperlink" Target="mailto:EstructuracionGD2@evolti.co" TargetMode="External"/><Relationship Id="rId41" Type="http://schemas.openxmlformats.org/officeDocument/2006/relationships/hyperlink" Target="mailto:julian.gomez@evolti.co" TargetMode="External"/><Relationship Id="rId62" Type="http://schemas.openxmlformats.org/officeDocument/2006/relationships/hyperlink" Target="mailto:julian.gomez@evolti.co" TargetMode="External"/><Relationship Id="rId83" Type="http://schemas.openxmlformats.org/officeDocument/2006/relationships/hyperlink" Target="mailto:fabian.florez@evolti.co" TargetMode="External"/><Relationship Id="rId88" Type="http://schemas.openxmlformats.org/officeDocument/2006/relationships/hyperlink" Target="mailto:EstructuracionGD2@evolti.co" TargetMode="External"/><Relationship Id="rId111" Type="http://schemas.openxmlformats.org/officeDocument/2006/relationships/hyperlink" Target="mailto:EstructuracionGD2@evolti.co" TargetMode="External"/><Relationship Id="rId132" Type="http://schemas.openxmlformats.org/officeDocument/2006/relationships/hyperlink" Target="mailto:EstructuracionGD2@evolti.co" TargetMode="External"/><Relationship Id="rId153" Type="http://schemas.openxmlformats.org/officeDocument/2006/relationships/hyperlink" Target="mailto:EstructuracionGD@evolti.co" TargetMode="External"/><Relationship Id="rId174" Type="http://schemas.openxmlformats.org/officeDocument/2006/relationships/hyperlink" Target="mailto:daniela.timaran@evolti.co" TargetMode="External"/><Relationship Id="rId15" Type="http://schemas.openxmlformats.org/officeDocument/2006/relationships/hyperlink" Target="mailto:EstructuracionGD@evolti.co" TargetMode="External"/><Relationship Id="rId36" Type="http://schemas.openxmlformats.org/officeDocument/2006/relationships/hyperlink" Target="mailto:EstructuracionGD@evolti.co" TargetMode="External"/><Relationship Id="rId57" Type="http://schemas.openxmlformats.org/officeDocument/2006/relationships/hyperlink" Target="mailto:EstructuracionGD@evolti.co" TargetMode="External"/><Relationship Id="rId106" Type="http://schemas.openxmlformats.org/officeDocument/2006/relationships/hyperlink" Target="mailto:EstructuracionGD2@evolti.co" TargetMode="External"/><Relationship Id="rId127" Type="http://schemas.openxmlformats.org/officeDocument/2006/relationships/hyperlink" Target="mailto:julian.gomez@evolti.co" TargetMode="External"/><Relationship Id="rId10" Type="http://schemas.openxmlformats.org/officeDocument/2006/relationships/hyperlink" Target="mailto:EstructuracionGD@evolti.co" TargetMode="External"/><Relationship Id="rId31" Type="http://schemas.openxmlformats.org/officeDocument/2006/relationships/hyperlink" Target="mailto:EstructuracionGD@evolti.co" TargetMode="External"/><Relationship Id="rId52" Type="http://schemas.openxmlformats.org/officeDocument/2006/relationships/hyperlink" Target="mailto:julian.gomez@evolti.co" TargetMode="External"/><Relationship Id="rId73" Type="http://schemas.openxmlformats.org/officeDocument/2006/relationships/hyperlink" Target="mailto:fabian.florez@evolti.co" TargetMode="External"/><Relationship Id="rId78" Type="http://schemas.openxmlformats.org/officeDocument/2006/relationships/hyperlink" Target="mailto:EstructuracionGD2@evolti.co" TargetMode="External"/><Relationship Id="rId94" Type="http://schemas.openxmlformats.org/officeDocument/2006/relationships/hyperlink" Target="mailto:julian.gomez@evolti.co" TargetMode="External"/><Relationship Id="rId99" Type="http://schemas.openxmlformats.org/officeDocument/2006/relationships/hyperlink" Target="mailto:EstructuracionGD@evolti.co" TargetMode="External"/><Relationship Id="rId101" Type="http://schemas.openxmlformats.org/officeDocument/2006/relationships/hyperlink" Target="mailto:daniela.timaran@evolti.co" TargetMode="External"/><Relationship Id="rId122" Type="http://schemas.openxmlformats.org/officeDocument/2006/relationships/hyperlink" Target="mailto:EstructuracionG2@evolti.co" TargetMode="External"/><Relationship Id="rId143" Type="http://schemas.openxmlformats.org/officeDocument/2006/relationships/hyperlink" Target="mailto:EstructuracionGD@evolti.co" TargetMode="External"/><Relationship Id="rId148" Type="http://schemas.openxmlformats.org/officeDocument/2006/relationships/hyperlink" Target="mailto:EstructuracionGD@evolti.co" TargetMode="External"/><Relationship Id="rId164" Type="http://schemas.openxmlformats.org/officeDocument/2006/relationships/hyperlink" Target="mailto:EstructuracionGD@evolti.co" TargetMode="External"/><Relationship Id="rId169" Type="http://schemas.openxmlformats.org/officeDocument/2006/relationships/hyperlink" Target="mailto:EstructuracionGD@evolti.co" TargetMode="External"/><Relationship Id="rId4" Type="http://schemas.openxmlformats.org/officeDocument/2006/relationships/hyperlink" Target="mailto:fernando.paniagua@evolti.co" TargetMode="External"/><Relationship Id="rId9" Type="http://schemas.openxmlformats.org/officeDocument/2006/relationships/hyperlink" Target="mailto:EstructuracionGD@evolti.co" TargetMode="External"/><Relationship Id="rId26" Type="http://schemas.openxmlformats.org/officeDocument/2006/relationships/hyperlink" Target="mailto:EstructuracionGD2@evolti.co" TargetMode="External"/><Relationship Id="rId47" Type="http://schemas.openxmlformats.org/officeDocument/2006/relationships/hyperlink" Target="mailto:daniela.timaran@evolti.co" TargetMode="External"/><Relationship Id="rId68" Type="http://schemas.openxmlformats.org/officeDocument/2006/relationships/hyperlink" Target="mailto:carlos.cabrera@evolti.co" TargetMode="External"/><Relationship Id="rId89" Type="http://schemas.openxmlformats.org/officeDocument/2006/relationships/hyperlink" Target="mailto:julian.gomez@evolti.co" TargetMode="External"/><Relationship Id="rId112" Type="http://schemas.openxmlformats.org/officeDocument/2006/relationships/hyperlink" Target="mailto:carlos.cabrera@evolti.co" TargetMode="External"/><Relationship Id="rId133" Type="http://schemas.openxmlformats.org/officeDocument/2006/relationships/hyperlink" Target="mailto:julian.gomez@evolti.co" TargetMode="External"/><Relationship Id="rId154" Type="http://schemas.openxmlformats.org/officeDocument/2006/relationships/hyperlink" Target="mailto:EstructuracionGD2@evolti.co" TargetMode="External"/><Relationship Id="rId175" Type="http://schemas.openxmlformats.org/officeDocument/2006/relationships/hyperlink" Target="mailto:daniela.timaran@evolti.co" TargetMode="External"/><Relationship Id="rId16" Type="http://schemas.openxmlformats.org/officeDocument/2006/relationships/hyperlink" Target="mailto:EstructuracionGD@evolti.co" TargetMode="External"/><Relationship Id="rId37" Type="http://schemas.openxmlformats.org/officeDocument/2006/relationships/hyperlink" Target="mailto:EstructuracionGD2@evolti.co" TargetMode="External"/><Relationship Id="rId58" Type="http://schemas.openxmlformats.org/officeDocument/2006/relationships/hyperlink" Target="mailto:EstructuracionGD2@evolti.co" TargetMode="External"/><Relationship Id="rId79" Type="http://schemas.openxmlformats.org/officeDocument/2006/relationships/hyperlink" Target="mailto:carlos.cabrera@evolti.co" TargetMode="External"/><Relationship Id="rId102" Type="http://schemas.openxmlformats.org/officeDocument/2006/relationships/hyperlink" Target="mailto:EstructuracionGD@evolti.co" TargetMode="External"/><Relationship Id="rId123" Type="http://schemas.openxmlformats.org/officeDocument/2006/relationships/hyperlink" Target="mailto:fabian.florez@evolti.co" TargetMode="External"/><Relationship Id="rId144" Type="http://schemas.openxmlformats.org/officeDocument/2006/relationships/hyperlink" Target="mailto:EstructuracionGD@evolti.co" TargetMode="External"/><Relationship Id="rId90" Type="http://schemas.openxmlformats.org/officeDocument/2006/relationships/hyperlink" Target="mailto:EstructuracionGD2@evolti.co" TargetMode="External"/><Relationship Id="rId165" Type="http://schemas.openxmlformats.org/officeDocument/2006/relationships/hyperlink" Target="mailto:EstructuracionGD@evolti.co" TargetMode="External"/><Relationship Id="rId27" Type="http://schemas.openxmlformats.org/officeDocument/2006/relationships/hyperlink" Target="mailto:EstructuracionGD2@evolti.co" TargetMode="External"/><Relationship Id="rId48" Type="http://schemas.openxmlformats.org/officeDocument/2006/relationships/hyperlink" Target="mailto:EstructuracionGD@evolti.co" TargetMode="External"/><Relationship Id="rId69" Type="http://schemas.openxmlformats.org/officeDocument/2006/relationships/hyperlink" Target="mailto:julian.gomez@evolti.co" TargetMode="External"/><Relationship Id="rId113" Type="http://schemas.openxmlformats.org/officeDocument/2006/relationships/hyperlink" Target="mailto:EstructuracionGD@evolti.co" TargetMode="External"/><Relationship Id="rId134" Type="http://schemas.openxmlformats.org/officeDocument/2006/relationships/hyperlink" Target="mailto:EstructuracionGD2@evolti.co" TargetMode="External"/><Relationship Id="rId80" Type="http://schemas.openxmlformats.org/officeDocument/2006/relationships/hyperlink" Target="mailto:daniela.timaran@evolti.co" TargetMode="External"/><Relationship Id="rId155" Type="http://schemas.openxmlformats.org/officeDocument/2006/relationships/hyperlink" Target="mailto:EstructuracionGD@evolti.co" TargetMode="External"/><Relationship Id="rId176" Type="http://schemas.openxmlformats.org/officeDocument/2006/relationships/printerSettings" Target="../printerSettings/printerSettings4.bin"/><Relationship Id="rId17" Type="http://schemas.openxmlformats.org/officeDocument/2006/relationships/hyperlink" Target="mailto:EstructuracionGD@evolti.co" TargetMode="External"/><Relationship Id="rId38" Type="http://schemas.openxmlformats.org/officeDocument/2006/relationships/hyperlink" Target="mailto:EstructuracionGD2@evolti.co" TargetMode="External"/><Relationship Id="rId59" Type="http://schemas.openxmlformats.org/officeDocument/2006/relationships/hyperlink" Target="mailto:daniela.timaran@evolti.co" TargetMode="External"/><Relationship Id="rId103" Type="http://schemas.openxmlformats.org/officeDocument/2006/relationships/hyperlink" Target="mailto:EstructuracionGD2@evolti.co" TargetMode="External"/><Relationship Id="rId124" Type="http://schemas.openxmlformats.org/officeDocument/2006/relationships/hyperlink" Target="mailto:EstructuracionGD2@evolti.co" TargetMode="External"/><Relationship Id="rId70" Type="http://schemas.openxmlformats.org/officeDocument/2006/relationships/hyperlink" Target="mailto:julian.gomez@evolti.co" TargetMode="External"/><Relationship Id="rId91" Type="http://schemas.openxmlformats.org/officeDocument/2006/relationships/hyperlink" Target="mailto:julian.gomez@evolti.co" TargetMode="External"/><Relationship Id="rId145" Type="http://schemas.openxmlformats.org/officeDocument/2006/relationships/hyperlink" Target="mailto:EstructuracionGD@evolti.co" TargetMode="External"/><Relationship Id="rId166" Type="http://schemas.openxmlformats.org/officeDocument/2006/relationships/hyperlink" Target="mailto:EstructuracionGD@evolti.co" TargetMode="External"/><Relationship Id="rId1" Type="http://schemas.openxmlformats.org/officeDocument/2006/relationships/hyperlink" Target="mailto:gerencia@evolti.co"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D1C55C-7C27-45F0-ADDA-DB9CA14584FC}">
  <sheetPr codeName="Hoja1"/>
  <dimension ref="A1:J7"/>
  <sheetViews>
    <sheetView workbookViewId="0">
      <selection activeCell="B19" sqref="B19"/>
    </sheetView>
  </sheetViews>
  <sheetFormatPr baseColWidth="10" defaultColWidth="11.42578125" defaultRowHeight="15" x14ac:dyDescent="0.25"/>
  <cols>
    <col min="1" max="1" width="19.42578125" customWidth="1"/>
    <col min="2" max="2" width="21.5703125" customWidth="1"/>
    <col min="3" max="3" width="22.5703125" customWidth="1"/>
    <col min="4" max="4" width="16.42578125" customWidth="1"/>
    <col min="5" max="5" width="22.5703125" customWidth="1"/>
    <col min="6" max="6" width="16.42578125" customWidth="1"/>
    <col min="7" max="7" width="27.5703125" bestFit="1" customWidth="1"/>
    <col min="8" max="9" width="9.42578125"/>
    <col min="10" max="10" width="0" hidden="1" customWidth="1"/>
  </cols>
  <sheetData>
    <row r="1" spans="1:10" s="3" customFormat="1" ht="30" customHeight="1" x14ac:dyDescent="0.25">
      <c r="A1" s="3" t="s">
        <v>0</v>
      </c>
      <c r="B1" s="3" t="s">
        <v>1</v>
      </c>
      <c r="C1" s="3" t="s">
        <v>2</v>
      </c>
      <c r="D1" s="3" t="s">
        <v>3</v>
      </c>
      <c r="E1" s="3" t="s">
        <v>4</v>
      </c>
      <c r="F1" s="3" t="s">
        <v>5</v>
      </c>
      <c r="G1" s="3" t="s">
        <v>6</v>
      </c>
      <c r="J1" s="3" t="s">
        <v>7</v>
      </c>
    </row>
    <row r="2" spans="1:10" x14ac:dyDescent="0.25">
      <c r="A2">
        <v>22459543</v>
      </c>
      <c r="B2" t="s">
        <v>8</v>
      </c>
      <c r="C2" t="s">
        <v>9</v>
      </c>
      <c r="D2" s="1">
        <v>44813</v>
      </c>
      <c r="E2" t="s">
        <v>10</v>
      </c>
      <c r="F2" s="1"/>
      <c r="G2" s="2" t="s">
        <v>11</v>
      </c>
      <c r="J2" t="s">
        <v>12</v>
      </c>
    </row>
    <row r="3" spans="1:10" x14ac:dyDescent="0.25">
      <c r="D3" s="1"/>
      <c r="F3" s="1"/>
      <c r="G3" s="2"/>
      <c r="J3" t="s">
        <v>13</v>
      </c>
    </row>
    <row r="4" spans="1:10" x14ac:dyDescent="0.25">
      <c r="D4" s="1"/>
      <c r="F4" s="1"/>
      <c r="G4" s="2"/>
      <c r="J4" t="s">
        <v>10</v>
      </c>
    </row>
    <row r="5" spans="1:10" x14ac:dyDescent="0.25">
      <c r="D5" s="1"/>
      <c r="F5" s="1"/>
      <c r="G5" s="2"/>
      <c r="J5" t="s">
        <v>14</v>
      </c>
    </row>
    <row r="6" spans="1:10" x14ac:dyDescent="0.25">
      <c r="D6" s="1"/>
      <c r="F6" s="1"/>
      <c r="G6" s="2"/>
      <c r="J6" t="s">
        <v>9</v>
      </c>
    </row>
    <row r="7" spans="1:10" x14ac:dyDescent="0.25">
      <c r="D7" s="1"/>
      <c r="F7" s="1"/>
      <c r="G7" s="2"/>
      <c r="J7" t="s">
        <v>15</v>
      </c>
    </row>
  </sheetData>
  <dataValidations count="1">
    <dataValidation type="list" allowBlank="1" showInputMessage="1" showErrorMessage="1" sqref="C2:C3 E2:E3" xr:uid="{8E2653F5-4D5E-4B60-A9F8-2E613955FEC7}">
      <formula1>$J$2:$J$7</formula1>
    </dataValidation>
  </dataValidations>
  <hyperlinks>
    <hyperlink ref="G2" r:id="rId1" xr:uid="{14E2E4D8-7DB2-434A-ABF4-7670D13EADBE}"/>
  </hyperlinks>
  <pageMargins left="0.7" right="0.7" top="0.75" bottom="0.75" header="0.3" footer="0.3"/>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3039F5-A8BC-46A9-9A51-A988004ADC85}">
  <sheetPr codeName="Hoja10"/>
  <dimension ref="B3:D9"/>
  <sheetViews>
    <sheetView workbookViewId="0"/>
  </sheetViews>
  <sheetFormatPr baseColWidth="10" defaultColWidth="10.85546875" defaultRowHeight="15" x14ac:dyDescent="0.25"/>
  <cols>
    <col min="3" max="3" width="15.28515625" bestFit="1" customWidth="1"/>
    <col min="4" max="4" width="21.28515625" bestFit="1" customWidth="1"/>
  </cols>
  <sheetData>
    <row r="3" spans="2:4" x14ac:dyDescent="0.25">
      <c r="B3" t="s">
        <v>184</v>
      </c>
      <c r="C3" t="s">
        <v>922</v>
      </c>
      <c r="D3" t="s">
        <v>923</v>
      </c>
    </row>
    <row r="4" spans="2:4" x14ac:dyDescent="0.25">
      <c r="B4">
        <v>1</v>
      </c>
      <c r="C4" t="s">
        <v>170</v>
      </c>
      <c r="D4" t="s">
        <v>924</v>
      </c>
    </row>
    <row r="5" spans="2:4" x14ac:dyDescent="0.25">
      <c r="B5">
        <v>2</v>
      </c>
      <c r="C5" t="s">
        <v>171</v>
      </c>
      <c r="D5" t="s">
        <v>924</v>
      </c>
    </row>
    <row r="6" spans="2:4" x14ac:dyDescent="0.25">
      <c r="B6">
        <v>3</v>
      </c>
      <c r="C6" t="s">
        <v>172</v>
      </c>
      <c r="D6" t="s">
        <v>924</v>
      </c>
    </row>
    <row r="7" spans="2:4" x14ac:dyDescent="0.25">
      <c r="B7">
        <v>4</v>
      </c>
      <c r="C7" t="s">
        <v>173</v>
      </c>
      <c r="D7" t="s">
        <v>924</v>
      </c>
    </row>
    <row r="8" spans="2:4" x14ac:dyDescent="0.25">
      <c r="B8">
        <v>5</v>
      </c>
      <c r="C8" t="s">
        <v>174</v>
      </c>
      <c r="D8" t="s">
        <v>924</v>
      </c>
    </row>
    <row r="9" spans="2:4" x14ac:dyDescent="0.25">
      <c r="B9">
        <v>6</v>
      </c>
      <c r="C9" t="s">
        <v>175</v>
      </c>
      <c r="D9" t="s">
        <v>924</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AA2E84-F4B0-4E5A-A434-700C83E13238}">
  <sheetPr codeName="Hoja8">
    <tabColor rgb="FF0070C0"/>
  </sheetPr>
  <dimension ref="A1:I136"/>
  <sheetViews>
    <sheetView topLeftCell="A118" zoomScale="85" zoomScaleNormal="85" workbookViewId="0">
      <selection activeCell="G129" sqref="G129"/>
    </sheetView>
  </sheetViews>
  <sheetFormatPr baseColWidth="10" defaultColWidth="10.85546875" defaultRowHeight="15" x14ac:dyDescent="0.25"/>
  <cols>
    <col min="1" max="1" width="7.5703125" style="145" customWidth="1"/>
    <col min="2" max="2" width="34.28515625" bestFit="1" customWidth="1"/>
    <col min="3" max="3" width="13" style="141" customWidth="1"/>
    <col min="4" max="4" width="18" style="141" bestFit="1" customWidth="1"/>
    <col min="5" max="5" width="19.140625" style="141" customWidth="1"/>
    <col min="6" max="7" width="23.7109375" style="141" customWidth="1"/>
    <col min="8" max="8" width="18.28515625" style="102" bestFit="1" customWidth="1"/>
    <col min="9" max="9" width="87.7109375" bestFit="1" customWidth="1"/>
  </cols>
  <sheetData>
    <row r="1" spans="1:9" s="18" customFormat="1" x14ac:dyDescent="0.25">
      <c r="A1" s="269" t="e" vm="1">
        <v>#VALUE!</v>
      </c>
      <c r="B1" s="269"/>
      <c r="C1" s="269"/>
      <c r="D1" s="271" t="s">
        <v>925</v>
      </c>
      <c r="E1" s="271"/>
      <c r="F1" s="271"/>
      <c r="G1" s="271"/>
      <c r="H1" s="271"/>
      <c r="I1" s="271"/>
    </row>
    <row r="2" spans="1:9" s="18" customFormat="1" x14ac:dyDescent="0.25">
      <c r="A2" s="269"/>
      <c r="B2" s="269"/>
      <c r="C2" s="269"/>
      <c r="D2" s="271"/>
      <c r="E2" s="271"/>
      <c r="F2" s="271"/>
      <c r="G2" s="271"/>
      <c r="H2" s="271"/>
      <c r="I2" s="271"/>
    </row>
    <row r="3" spans="1:9" s="18" customFormat="1" x14ac:dyDescent="0.25">
      <c r="A3" s="269"/>
      <c r="B3" s="269"/>
      <c r="C3" s="269"/>
      <c r="D3" s="271"/>
      <c r="E3" s="271"/>
      <c r="F3" s="271"/>
      <c r="G3" s="271"/>
      <c r="H3" s="271"/>
      <c r="I3" s="271"/>
    </row>
    <row r="4" spans="1:9" s="18" customFormat="1" ht="5.0999999999999996" customHeight="1" x14ac:dyDescent="0.25">
      <c r="A4" s="270"/>
      <c r="B4" s="270"/>
      <c r="C4" s="270"/>
      <c r="D4" s="270"/>
      <c r="E4" s="270"/>
      <c r="F4" s="270"/>
      <c r="G4" s="270"/>
      <c r="H4" s="270"/>
    </row>
    <row r="5" spans="1:9" s="54" customFormat="1" ht="57" customHeight="1" x14ac:dyDescent="0.25">
      <c r="A5" s="147" t="s">
        <v>184</v>
      </c>
      <c r="B5" s="148" t="s">
        <v>926</v>
      </c>
      <c r="C5" s="147" t="s">
        <v>927</v>
      </c>
      <c r="D5" s="148" t="s">
        <v>928</v>
      </c>
      <c r="E5" s="148" t="s">
        <v>929</v>
      </c>
      <c r="F5" s="148" t="s">
        <v>930</v>
      </c>
      <c r="G5" s="148" t="s">
        <v>931</v>
      </c>
      <c r="H5" s="148" t="s">
        <v>932</v>
      </c>
      <c r="I5" s="148" t="s">
        <v>933</v>
      </c>
    </row>
    <row r="6" spans="1:9" ht="15.75" x14ac:dyDescent="0.25">
      <c r="A6" s="144">
        <v>74</v>
      </c>
      <c r="B6" s="23" t="s">
        <v>1037</v>
      </c>
      <c r="C6" s="259">
        <v>45467</v>
      </c>
      <c r="D6" s="142" t="s">
        <v>970</v>
      </c>
      <c r="E6" s="142" t="s">
        <v>229</v>
      </c>
      <c r="F6" s="142" t="s">
        <v>229</v>
      </c>
      <c r="G6" s="212" t="s">
        <v>940</v>
      </c>
      <c r="H6" s="209" t="s">
        <v>172</v>
      </c>
      <c r="I6" s="146" t="s">
        <v>944</v>
      </c>
    </row>
    <row r="7" spans="1:9" ht="15.75" x14ac:dyDescent="0.25">
      <c r="A7" s="144">
        <v>75</v>
      </c>
      <c r="B7" s="23" t="s">
        <v>1038</v>
      </c>
      <c r="C7" s="259">
        <v>45467</v>
      </c>
      <c r="D7" s="142" t="s">
        <v>970</v>
      </c>
      <c r="E7" s="142" t="s">
        <v>229</v>
      </c>
      <c r="F7" s="142" t="s">
        <v>229</v>
      </c>
      <c r="G7" s="212" t="s">
        <v>940</v>
      </c>
      <c r="H7" s="209" t="s">
        <v>171</v>
      </c>
      <c r="I7" s="146" t="s">
        <v>944</v>
      </c>
    </row>
    <row r="8" spans="1:9" ht="15.75" x14ac:dyDescent="0.25">
      <c r="A8" s="144">
        <v>76</v>
      </c>
      <c r="B8" s="23" t="s">
        <v>1039</v>
      </c>
      <c r="C8" s="259">
        <v>45467</v>
      </c>
      <c r="D8" s="142" t="s">
        <v>935</v>
      </c>
      <c r="E8" s="142" t="s">
        <v>229</v>
      </c>
      <c r="F8" s="142" t="s">
        <v>229</v>
      </c>
      <c r="G8" s="238" t="s">
        <v>940</v>
      </c>
      <c r="H8" s="209" t="s">
        <v>173</v>
      </c>
      <c r="I8" s="146" t="s">
        <v>944</v>
      </c>
    </row>
    <row r="9" spans="1:9" ht="15.75" x14ac:dyDescent="0.25">
      <c r="A9" s="144">
        <v>77</v>
      </c>
      <c r="B9" s="23" t="s">
        <v>1040</v>
      </c>
      <c r="C9" s="259">
        <v>45467</v>
      </c>
      <c r="D9" s="142" t="s">
        <v>959</v>
      </c>
      <c r="E9" s="142" t="s">
        <v>542</v>
      </c>
      <c r="F9" s="142" t="s">
        <v>229</v>
      </c>
      <c r="G9" s="238" t="s">
        <v>940</v>
      </c>
      <c r="H9" s="209" t="s">
        <v>170</v>
      </c>
      <c r="I9" s="146" t="s">
        <v>944</v>
      </c>
    </row>
    <row r="10" spans="1:9" ht="15.75" x14ac:dyDescent="0.25">
      <c r="A10" s="144">
        <v>78</v>
      </c>
      <c r="B10" s="23" t="s">
        <v>1041</v>
      </c>
      <c r="C10" s="259">
        <v>45467</v>
      </c>
      <c r="D10" s="142" t="s">
        <v>935</v>
      </c>
      <c r="E10" s="142" t="s">
        <v>229</v>
      </c>
      <c r="F10" s="142" t="s">
        <v>229</v>
      </c>
      <c r="G10" s="212" t="s">
        <v>940</v>
      </c>
      <c r="H10" s="209" t="s">
        <v>172</v>
      </c>
      <c r="I10" s="146" t="s">
        <v>944</v>
      </c>
    </row>
    <row r="11" spans="1:9" ht="15.75" x14ac:dyDescent="0.25">
      <c r="A11" s="144">
        <v>79</v>
      </c>
      <c r="B11" s="23" t="s">
        <v>1042</v>
      </c>
      <c r="C11" s="259">
        <v>45467</v>
      </c>
      <c r="D11" s="142" t="s">
        <v>1043</v>
      </c>
      <c r="E11" s="142" t="s">
        <v>229</v>
      </c>
      <c r="F11" s="142" t="s">
        <v>229</v>
      </c>
      <c r="G11" s="149" t="s">
        <v>940</v>
      </c>
      <c r="H11" s="209" t="s">
        <v>172</v>
      </c>
      <c r="I11" s="146" t="s">
        <v>1044</v>
      </c>
    </row>
    <row r="12" spans="1:9" ht="15.75" x14ac:dyDescent="0.25">
      <c r="A12" s="144">
        <v>81</v>
      </c>
      <c r="B12" s="23" t="s">
        <v>1046</v>
      </c>
      <c r="C12" s="259">
        <v>45469</v>
      </c>
      <c r="D12" s="142" t="s">
        <v>1027</v>
      </c>
      <c r="E12" s="142" t="s">
        <v>542</v>
      </c>
      <c r="F12" s="142" t="s">
        <v>229</v>
      </c>
      <c r="G12" s="239" t="s">
        <v>940</v>
      </c>
      <c r="H12" s="209" t="s">
        <v>170</v>
      </c>
      <c r="I12" s="146"/>
    </row>
    <row r="13" spans="1:9" ht="15.75" x14ac:dyDescent="0.25">
      <c r="A13" s="144">
        <v>82</v>
      </c>
      <c r="B13" s="23" t="s">
        <v>1047</v>
      </c>
      <c r="C13" s="259">
        <v>45469</v>
      </c>
      <c r="D13" s="142" t="s">
        <v>1027</v>
      </c>
      <c r="E13" s="142" t="s">
        <v>542</v>
      </c>
      <c r="F13" s="142" t="s">
        <v>229</v>
      </c>
      <c r="G13" s="239" t="s">
        <v>940</v>
      </c>
      <c r="H13" s="209" t="s">
        <v>172</v>
      </c>
      <c r="I13" s="146" t="s">
        <v>944</v>
      </c>
    </row>
    <row r="14" spans="1:9" ht="15.75" x14ac:dyDescent="0.25">
      <c r="A14" s="144">
        <v>83</v>
      </c>
      <c r="B14" s="23" t="s">
        <v>1048</v>
      </c>
      <c r="C14" s="259">
        <v>45469</v>
      </c>
      <c r="D14" s="142" t="s">
        <v>1027</v>
      </c>
      <c r="E14" s="142" t="s">
        <v>542</v>
      </c>
      <c r="F14" s="142" t="s">
        <v>542</v>
      </c>
      <c r="G14" s="239" t="s">
        <v>940</v>
      </c>
      <c r="H14" s="209" t="s">
        <v>171</v>
      </c>
      <c r="I14" s="146" t="s">
        <v>944</v>
      </c>
    </row>
    <row r="15" spans="1:9" ht="15.75" x14ac:dyDescent="0.25">
      <c r="A15" s="144">
        <v>80</v>
      </c>
      <c r="B15" s="23" t="s">
        <v>1045</v>
      </c>
      <c r="C15" s="259">
        <v>45470</v>
      </c>
      <c r="D15" s="142" t="s">
        <v>957</v>
      </c>
      <c r="E15" s="142" t="s">
        <v>229</v>
      </c>
      <c r="F15" s="142" t="s">
        <v>542</v>
      </c>
      <c r="G15" s="239" t="s">
        <v>940</v>
      </c>
      <c r="H15" s="209" t="s">
        <v>173</v>
      </c>
      <c r="I15" s="146" t="s">
        <v>944</v>
      </c>
    </row>
    <row r="16" spans="1:9" ht="15.75" x14ac:dyDescent="0.25">
      <c r="A16" s="144">
        <v>1</v>
      </c>
      <c r="B16" s="23" t="s">
        <v>934</v>
      </c>
      <c r="C16" s="259">
        <v>45782</v>
      </c>
      <c r="D16" s="142" t="s">
        <v>935</v>
      </c>
      <c r="E16" s="142" t="s">
        <v>229</v>
      </c>
      <c r="F16" s="142" t="s">
        <v>229</v>
      </c>
      <c r="G16" s="149" t="s">
        <v>936</v>
      </c>
      <c r="H16" s="209" t="s">
        <v>173</v>
      </c>
      <c r="I16" s="146" t="s">
        <v>937</v>
      </c>
    </row>
    <row r="17" spans="1:9" ht="15.75" x14ac:dyDescent="0.25">
      <c r="A17" s="144">
        <v>2</v>
      </c>
      <c r="B17" s="23" t="s">
        <v>938</v>
      </c>
      <c r="C17" s="259">
        <v>45782</v>
      </c>
      <c r="D17" s="142" t="s">
        <v>939</v>
      </c>
      <c r="E17" s="142" t="s">
        <v>542</v>
      </c>
      <c r="F17" s="142" t="s">
        <v>542</v>
      </c>
      <c r="G17" s="149" t="s">
        <v>940</v>
      </c>
      <c r="H17" s="209" t="s">
        <v>172</v>
      </c>
      <c r="I17" s="146" t="s">
        <v>941</v>
      </c>
    </row>
    <row r="18" spans="1:9" ht="15.75" x14ac:dyDescent="0.25">
      <c r="A18" s="144">
        <v>3</v>
      </c>
      <c r="B18" s="23" t="s">
        <v>942</v>
      </c>
      <c r="C18" s="259">
        <v>45782</v>
      </c>
      <c r="D18" s="142" t="s">
        <v>943</v>
      </c>
      <c r="E18" s="142" t="s">
        <v>542</v>
      </c>
      <c r="F18" s="142" t="s">
        <v>542</v>
      </c>
      <c r="G18" s="149" t="s">
        <v>940</v>
      </c>
      <c r="H18" s="209" t="s">
        <v>172</v>
      </c>
      <c r="I18" s="146" t="s">
        <v>944</v>
      </c>
    </row>
    <row r="19" spans="1:9" ht="15.75" x14ac:dyDescent="0.25">
      <c r="A19" s="144">
        <v>4</v>
      </c>
      <c r="B19" s="23" t="s">
        <v>945</v>
      </c>
      <c r="C19" s="259">
        <v>45782</v>
      </c>
      <c r="D19" s="142" t="s">
        <v>946</v>
      </c>
      <c r="E19" s="142" t="s">
        <v>542</v>
      </c>
      <c r="F19" s="142" t="s">
        <v>542</v>
      </c>
      <c r="G19" s="149" t="s">
        <v>940</v>
      </c>
      <c r="H19" s="209" t="s">
        <v>172</v>
      </c>
      <c r="I19" s="146" t="s">
        <v>944</v>
      </c>
    </row>
    <row r="20" spans="1:9" ht="15.75" x14ac:dyDescent="0.25">
      <c r="A20" s="144">
        <v>5</v>
      </c>
      <c r="B20" s="23" t="s">
        <v>947</v>
      </c>
      <c r="C20" s="259">
        <v>45782</v>
      </c>
      <c r="D20" s="142" t="s">
        <v>948</v>
      </c>
      <c r="E20" s="142" t="s">
        <v>229</v>
      </c>
      <c r="F20" s="142" t="s">
        <v>229</v>
      </c>
      <c r="G20" s="149" t="s">
        <v>940</v>
      </c>
      <c r="H20" s="209" t="s">
        <v>172</v>
      </c>
      <c r="I20" s="146" t="s">
        <v>949</v>
      </c>
    </row>
    <row r="21" spans="1:9" ht="15.75" x14ac:dyDescent="0.25">
      <c r="A21" s="144">
        <v>6</v>
      </c>
      <c r="B21" s="23" t="s">
        <v>950</v>
      </c>
      <c r="C21" s="259">
        <v>45782</v>
      </c>
      <c r="D21" s="142" t="s">
        <v>939</v>
      </c>
      <c r="E21" s="142" t="s">
        <v>229</v>
      </c>
      <c r="F21" s="142" t="s">
        <v>229</v>
      </c>
      <c r="G21" s="149" t="s">
        <v>936</v>
      </c>
      <c r="H21" s="209"/>
      <c r="I21" s="146" t="s">
        <v>951</v>
      </c>
    </row>
    <row r="22" spans="1:9" ht="15.75" x14ac:dyDescent="0.25">
      <c r="A22" s="144">
        <v>7</v>
      </c>
      <c r="B22" s="23" t="s">
        <v>952</v>
      </c>
      <c r="C22" s="259">
        <v>45782</v>
      </c>
      <c r="D22" s="142" t="s">
        <v>935</v>
      </c>
      <c r="E22" s="142" t="s">
        <v>229</v>
      </c>
      <c r="F22" s="142" t="s">
        <v>229</v>
      </c>
      <c r="G22" s="149" t="s">
        <v>940</v>
      </c>
      <c r="H22" s="209" t="s">
        <v>173</v>
      </c>
      <c r="I22" s="146" t="s">
        <v>944</v>
      </c>
    </row>
    <row r="23" spans="1:9" ht="15.75" x14ac:dyDescent="0.25">
      <c r="A23" s="144">
        <v>8</v>
      </c>
      <c r="B23" s="23" t="s">
        <v>953</v>
      </c>
      <c r="C23" s="259">
        <v>45782</v>
      </c>
      <c r="D23" s="142" t="s">
        <v>948</v>
      </c>
      <c r="E23" s="142" t="s">
        <v>229</v>
      </c>
      <c r="F23" s="142" t="s">
        <v>229</v>
      </c>
      <c r="G23" s="149" t="s">
        <v>940</v>
      </c>
      <c r="H23" s="209" t="s">
        <v>172</v>
      </c>
      <c r="I23" s="146" t="s">
        <v>944</v>
      </c>
    </row>
    <row r="24" spans="1:9" ht="15.75" x14ac:dyDescent="0.25">
      <c r="A24" s="144">
        <v>9</v>
      </c>
      <c r="B24" s="23" t="s">
        <v>954</v>
      </c>
      <c r="C24" s="259">
        <v>45782</v>
      </c>
      <c r="D24" s="142" t="s">
        <v>935</v>
      </c>
      <c r="E24" s="142" t="s">
        <v>229</v>
      </c>
      <c r="F24" s="142" t="s">
        <v>229</v>
      </c>
      <c r="G24" s="149" t="s">
        <v>940</v>
      </c>
      <c r="H24" s="209" t="s">
        <v>172</v>
      </c>
      <c r="I24" s="146" t="s">
        <v>944</v>
      </c>
    </row>
    <row r="25" spans="1:9" ht="15.75" x14ac:dyDescent="0.25">
      <c r="A25" s="144">
        <v>10</v>
      </c>
      <c r="B25" s="23" t="s">
        <v>955</v>
      </c>
      <c r="C25" s="259">
        <v>45782</v>
      </c>
      <c r="D25" s="142" t="s">
        <v>935</v>
      </c>
      <c r="E25" s="142" t="s">
        <v>229</v>
      </c>
      <c r="F25" s="142" t="s">
        <v>229</v>
      </c>
      <c r="G25" s="149" t="s">
        <v>940</v>
      </c>
      <c r="H25" s="209" t="s">
        <v>172</v>
      </c>
      <c r="I25" s="146" t="s">
        <v>944</v>
      </c>
    </row>
    <row r="26" spans="1:9" ht="15.75" x14ac:dyDescent="0.25">
      <c r="A26" s="144">
        <v>11</v>
      </c>
      <c r="B26" s="23" t="s">
        <v>956</v>
      </c>
      <c r="C26" s="259">
        <v>45782</v>
      </c>
      <c r="D26" s="142" t="s">
        <v>957</v>
      </c>
      <c r="E26" s="142" t="s">
        <v>542</v>
      </c>
      <c r="F26" s="142" t="s">
        <v>542</v>
      </c>
      <c r="G26" s="149" t="s">
        <v>940</v>
      </c>
      <c r="H26" s="209" t="s">
        <v>172</v>
      </c>
      <c r="I26" s="146" t="s">
        <v>944</v>
      </c>
    </row>
    <row r="27" spans="1:9" ht="15.75" x14ac:dyDescent="0.25">
      <c r="A27" s="144">
        <v>12</v>
      </c>
      <c r="B27" s="23" t="s">
        <v>958</v>
      </c>
      <c r="C27" s="259">
        <v>45782</v>
      </c>
      <c r="D27" s="142" t="s">
        <v>959</v>
      </c>
      <c r="E27" s="142" t="s">
        <v>542</v>
      </c>
      <c r="F27" s="142" t="s">
        <v>542</v>
      </c>
      <c r="G27" s="149" t="s">
        <v>936</v>
      </c>
      <c r="H27" s="209"/>
      <c r="I27" s="146" t="s">
        <v>960</v>
      </c>
    </row>
    <row r="28" spans="1:9" ht="15.75" x14ac:dyDescent="0.25">
      <c r="A28" s="144">
        <v>13</v>
      </c>
      <c r="B28" s="23" t="s">
        <v>961</v>
      </c>
      <c r="C28" s="259">
        <v>45782</v>
      </c>
      <c r="D28" s="142" t="s">
        <v>935</v>
      </c>
      <c r="E28" s="142" t="s">
        <v>229</v>
      </c>
      <c r="F28" s="142" t="s">
        <v>229</v>
      </c>
      <c r="G28" s="149" t="s">
        <v>940</v>
      </c>
      <c r="H28" s="209" t="s">
        <v>173</v>
      </c>
      <c r="I28" s="146" t="s">
        <v>944</v>
      </c>
    </row>
    <row r="29" spans="1:9" ht="15.75" x14ac:dyDescent="0.25">
      <c r="A29" s="144">
        <v>14</v>
      </c>
      <c r="B29" s="23" t="s">
        <v>962</v>
      </c>
      <c r="C29" s="259">
        <v>45782</v>
      </c>
      <c r="D29" s="142" t="s">
        <v>935</v>
      </c>
      <c r="E29" s="142" t="s">
        <v>229</v>
      </c>
      <c r="F29" s="142" t="s">
        <v>229</v>
      </c>
      <c r="G29" s="149" t="s">
        <v>940</v>
      </c>
      <c r="H29" s="209"/>
      <c r="I29" s="146" t="s">
        <v>963</v>
      </c>
    </row>
    <row r="30" spans="1:9" ht="15.75" x14ac:dyDescent="0.25">
      <c r="A30" s="144">
        <v>15</v>
      </c>
      <c r="B30" s="23" t="s">
        <v>964</v>
      </c>
      <c r="C30" s="259">
        <v>45782</v>
      </c>
      <c r="D30" s="142" t="s">
        <v>935</v>
      </c>
      <c r="E30" s="142" t="s">
        <v>229</v>
      </c>
      <c r="F30" s="142" t="s">
        <v>229</v>
      </c>
      <c r="G30" s="149" t="s">
        <v>940</v>
      </c>
      <c r="H30" s="209" t="s">
        <v>172</v>
      </c>
      <c r="I30" s="146" t="s">
        <v>944</v>
      </c>
    </row>
    <row r="31" spans="1:9" ht="15.75" x14ac:dyDescent="0.25">
      <c r="A31" s="144">
        <v>16</v>
      </c>
      <c r="B31" s="23" t="s">
        <v>965</v>
      </c>
      <c r="C31" s="259">
        <v>45782</v>
      </c>
      <c r="D31" s="142" t="s">
        <v>935</v>
      </c>
      <c r="E31" s="142" t="s">
        <v>229</v>
      </c>
      <c r="F31" s="142" t="s">
        <v>229</v>
      </c>
      <c r="G31" s="149" t="s">
        <v>940</v>
      </c>
      <c r="H31" s="209" t="s">
        <v>172</v>
      </c>
      <c r="I31" s="146" t="s">
        <v>944</v>
      </c>
    </row>
    <row r="32" spans="1:9" ht="15.75" x14ac:dyDescent="0.25">
      <c r="A32" s="144">
        <v>17</v>
      </c>
      <c r="B32" s="23" t="s">
        <v>966</v>
      </c>
      <c r="C32" s="259">
        <v>45782</v>
      </c>
      <c r="D32" s="142" t="s">
        <v>967</v>
      </c>
      <c r="E32" s="142" t="s">
        <v>229</v>
      </c>
      <c r="F32" s="142" t="s">
        <v>229</v>
      </c>
      <c r="G32" s="149" t="s">
        <v>940</v>
      </c>
      <c r="H32" s="209"/>
      <c r="I32" s="146" t="s">
        <v>968</v>
      </c>
    </row>
    <row r="33" spans="1:9" ht="15.75" x14ac:dyDescent="0.25">
      <c r="A33" s="144">
        <v>18</v>
      </c>
      <c r="B33" s="23" t="s">
        <v>969</v>
      </c>
      <c r="C33" s="259">
        <v>45782</v>
      </c>
      <c r="D33" s="142" t="s">
        <v>970</v>
      </c>
      <c r="E33" s="142" t="s">
        <v>229</v>
      </c>
      <c r="F33" s="142" t="s">
        <v>229</v>
      </c>
      <c r="G33" s="149" t="s">
        <v>940</v>
      </c>
      <c r="H33" s="209" t="s">
        <v>173</v>
      </c>
      <c r="I33" s="146" t="s">
        <v>944</v>
      </c>
    </row>
    <row r="34" spans="1:9" ht="15.75" x14ac:dyDescent="0.25">
      <c r="A34" s="144">
        <v>19</v>
      </c>
      <c r="B34" s="23" t="s">
        <v>971</v>
      </c>
      <c r="C34" s="259">
        <v>45782</v>
      </c>
      <c r="D34" s="142" t="s">
        <v>972</v>
      </c>
      <c r="E34" s="142" t="s">
        <v>542</v>
      </c>
      <c r="F34" s="142" t="s">
        <v>542</v>
      </c>
      <c r="G34" s="149" t="s">
        <v>940</v>
      </c>
      <c r="H34" s="209" t="s">
        <v>173</v>
      </c>
      <c r="I34" s="146" t="s">
        <v>944</v>
      </c>
    </row>
    <row r="35" spans="1:9" ht="15.75" x14ac:dyDescent="0.25">
      <c r="A35" s="144">
        <v>20</v>
      </c>
      <c r="B35" s="23" t="s">
        <v>973</v>
      </c>
      <c r="C35" s="259">
        <v>45785</v>
      </c>
      <c r="D35" s="142" t="s">
        <v>959</v>
      </c>
      <c r="E35" s="142" t="s">
        <v>542</v>
      </c>
      <c r="F35" s="142" t="s">
        <v>542</v>
      </c>
      <c r="G35" s="149" t="s">
        <v>940</v>
      </c>
      <c r="H35" s="209" t="s">
        <v>174</v>
      </c>
      <c r="I35" s="146" t="s">
        <v>944</v>
      </c>
    </row>
    <row r="36" spans="1:9" ht="15.75" x14ac:dyDescent="0.25">
      <c r="A36" s="144">
        <v>21</v>
      </c>
      <c r="B36" s="23" t="s">
        <v>974</v>
      </c>
      <c r="C36" s="259">
        <v>45790</v>
      </c>
      <c r="D36" s="142" t="s">
        <v>970</v>
      </c>
      <c r="E36" s="142" t="s">
        <v>229</v>
      </c>
      <c r="F36" s="142" t="s">
        <v>542</v>
      </c>
      <c r="G36" s="149" t="s">
        <v>940</v>
      </c>
      <c r="H36" s="209"/>
      <c r="I36" s="146" t="s">
        <v>944</v>
      </c>
    </row>
    <row r="37" spans="1:9" ht="15.75" x14ac:dyDescent="0.25">
      <c r="A37" s="144">
        <v>22</v>
      </c>
      <c r="B37" s="23" t="s">
        <v>620</v>
      </c>
      <c r="C37" s="259">
        <v>45790</v>
      </c>
      <c r="D37" s="142" t="s">
        <v>948</v>
      </c>
      <c r="E37" s="142" t="s">
        <v>229</v>
      </c>
      <c r="F37" s="142" t="s">
        <v>542</v>
      </c>
      <c r="G37" s="149" t="s">
        <v>940</v>
      </c>
      <c r="H37" s="209"/>
      <c r="I37" s="146" t="s">
        <v>975</v>
      </c>
    </row>
    <row r="38" spans="1:9" ht="15.75" x14ac:dyDescent="0.25">
      <c r="A38" s="144">
        <v>23</v>
      </c>
      <c r="B38" s="23" t="s">
        <v>976</v>
      </c>
      <c r="C38" s="259">
        <v>45790</v>
      </c>
      <c r="D38" s="142" t="s">
        <v>943</v>
      </c>
      <c r="E38" s="142" t="s">
        <v>229</v>
      </c>
      <c r="F38" s="142" t="s">
        <v>542</v>
      </c>
      <c r="G38" s="149" t="s">
        <v>940</v>
      </c>
      <c r="H38" s="209" t="s">
        <v>172</v>
      </c>
      <c r="I38" s="146" t="s">
        <v>944</v>
      </c>
    </row>
    <row r="39" spans="1:9" ht="15.75" x14ac:dyDescent="0.25">
      <c r="A39" s="144">
        <v>24</v>
      </c>
      <c r="B39" s="23" t="s">
        <v>977</v>
      </c>
      <c r="C39" s="259">
        <v>45790</v>
      </c>
      <c r="D39" s="142" t="s">
        <v>978</v>
      </c>
      <c r="E39" s="142" t="s">
        <v>229</v>
      </c>
      <c r="F39" s="142" t="s">
        <v>229</v>
      </c>
      <c r="G39" s="149" t="s">
        <v>940</v>
      </c>
      <c r="H39" s="209" t="s">
        <v>172</v>
      </c>
      <c r="I39" s="146" t="s">
        <v>979</v>
      </c>
    </row>
    <row r="40" spans="1:9" ht="15.75" x14ac:dyDescent="0.25">
      <c r="A40" s="144">
        <v>25</v>
      </c>
      <c r="B40" s="172" t="s">
        <v>980</v>
      </c>
      <c r="C40" s="260">
        <v>45790</v>
      </c>
      <c r="D40" s="142" t="s">
        <v>978</v>
      </c>
      <c r="E40" s="173" t="s">
        <v>542</v>
      </c>
      <c r="F40" s="174" t="s">
        <v>542</v>
      </c>
      <c r="G40" s="149" t="s">
        <v>940</v>
      </c>
      <c r="H40" s="209" t="s">
        <v>172</v>
      </c>
      <c r="I40" s="146" t="s">
        <v>944</v>
      </c>
    </row>
    <row r="41" spans="1:9" ht="15.75" x14ac:dyDescent="0.25">
      <c r="A41" s="144">
        <v>26</v>
      </c>
      <c r="B41" s="23" t="s">
        <v>981</v>
      </c>
      <c r="C41" s="259">
        <v>45790</v>
      </c>
      <c r="D41" s="142" t="s">
        <v>967</v>
      </c>
      <c r="E41" s="142" t="s">
        <v>542</v>
      </c>
      <c r="F41" s="142" t="s">
        <v>542</v>
      </c>
      <c r="G41" s="149" t="s">
        <v>940</v>
      </c>
      <c r="H41" s="209" t="s">
        <v>172</v>
      </c>
      <c r="I41" s="146" t="s">
        <v>944</v>
      </c>
    </row>
    <row r="42" spans="1:9" ht="15.75" x14ac:dyDescent="0.25">
      <c r="A42" s="144">
        <v>27</v>
      </c>
      <c r="B42" s="23" t="s">
        <v>982</v>
      </c>
      <c r="C42" s="259">
        <v>45790</v>
      </c>
      <c r="D42" s="142" t="s">
        <v>967</v>
      </c>
      <c r="E42" s="142" t="s">
        <v>542</v>
      </c>
      <c r="F42" s="142" t="s">
        <v>542</v>
      </c>
      <c r="G42" s="149" t="s">
        <v>940</v>
      </c>
      <c r="H42" s="209" t="s">
        <v>172</v>
      </c>
      <c r="I42" s="146" t="s">
        <v>983</v>
      </c>
    </row>
    <row r="43" spans="1:9" ht="15.75" x14ac:dyDescent="0.25">
      <c r="A43" s="144">
        <v>28</v>
      </c>
      <c r="B43" s="23" t="s">
        <v>984</v>
      </c>
      <c r="C43" s="259">
        <v>45791</v>
      </c>
      <c r="D43" s="142" t="s">
        <v>935</v>
      </c>
      <c r="E43" s="142" t="s">
        <v>229</v>
      </c>
      <c r="F43" s="142" t="s">
        <v>542</v>
      </c>
      <c r="G43" s="149" t="s">
        <v>940</v>
      </c>
      <c r="H43" s="209" t="s">
        <v>173</v>
      </c>
      <c r="I43" s="146" t="s">
        <v>944</v>
      </c>
    </row>
    <row r="44" spans="1:9" ht="15.75" x14ac:dyDescent="0.25">
      <c r="A44" s="144">
        <v>29</v>
      </c>
      <c r="B44" s="23" t="s">
        <v>985</v>
      </c>
      <c r="C44" s="259">
        <v>45791</v>
      </c>
      <c r="D44" s="142" t="s">
        <v>959</v>
      </c>
      <c r="E44" s="142" t="s">
        <v>542</v>
      </c>
      <c r="F44" s="142" t="s">
        <v>542</v>
      </c>
      <c r="G44" s="149" t="s">
        <v>940</v>
      </c>
      <c r="H44" s="209" t="s">
        <v>172</v>
      </c>
      <c r="I44" s="146" t="s">
        <v>944</v>
      </c>
    </row>
    <row r="45" spans="1:9" ht="15.75" x14ac:dyDescent="0.25">
      <c r="A45" s="144">
        <v>35</v>
      </c>
      <c r="B45" s="23" t="s">
        <v>991</v>
      </c>
      <c r="C45" s="259">
        <v>45791</v>
      </c>
      <c r="D45" s="141" t="s">
        <v>970</v>
      </c>
      <c r="E45" s="142"/>
      <c r="F45" s="142"/>
      <c r="G45" s="149" t="s">
        <v>940</v>
      </c>
      <c r="H45" s="209" t="s">
        <v>173</v>
      </c>
      <c r="I45" s="146" t="s">
        <v>944</v>
      </c>
    </row>
    <row r="46" spans="1:9" ht="15.75" x14ac:dyDescent="0.25">
      <c r="A46" s="144">
        <v>33</v>
      </c>
      <c r="B46" s="23" t="s">
        <v>989</v>
      </c>
      <c r="C46" s="259">
        <v>45792</v>
      </c>
      <c r="D46" s="141" t="s">
        <v>970</v>
      </c>
      <c r="E46" s="142" t="s">
        <v>229</v>
      </c>
      <c r="F46" s="142" t="s">
        <v>229</v>
      </c>
      <c r="G46" s="149" t="s">
        <v>940</v>
      </c>
      <c r="H46" s="209" t="s">
        <v>172</v>
      </c>
      <c r="I46" s="146" t="s">
        <v>944</v>
      </c>
    </row>
    <row r="47" spans="1:9" ht="15.75" x14ac:dyDescent="0.25">
      <c r="A47" s="144">
        <v>30</v>
      </c>
      <c r="B47" s="23" t="s">
        <v>986</v>
      </c>
      <c r="C47" s="259">
        <v>45793</v>
      </c>
      <c r="D47" s="142" t="s">
        <v>970</v>
      </c>
      <c r="E47" s="142" t="s">
        <v>229</v>
      </c>
      <c r="F47" s="142" t="s">
        <v>542</v>
      </c>
      <c r="G47" s="149" t="s">
        <v>940</v>
      </c>
      <c r="H47" s="209"/>
      <c r="I47" s="146" t="s">
        <v>944</v>
      </c>
    </row>
    <row r="48" spans="1:9" ht="15.75" x14ac:dyDescent="0.25">
      <c r="A48" s="144">
        <v>31</v>
      </c>
      <c r="B48" s="23" t="s">
        <v>987</v>
      </c>
      <c r="C48" s="259">
        <v>45793</v>
      </c>
      <c r="D48" s="142" t="s">
        <v>970</v>
      </c>
      <c r="E48" s="142" t="s">
        <v>229</v>
      </c>
      <c r="F48" s="142" t="s">
        <v>229</v>
      </c>
      <c r="G48" s="149" t="s">
        <v>936</v>
      </c>
      <c r="H48" s="209" t="s">
        <v>173</v>
      </c>
      <c r="I48" s="146" t="s">
        <v>960</v>
      </c>
    </row>
    <row r="49" spans="1:9" ht="15.75" x14ac:dyDescent="0.25">
      <c r="A49" s="144">
        <v>32</v>
      </c>
      <c r="B49" s="23" t="s">
        <v>988</v>
      </c>
      <c r="C49" s="259">
        <v>45793</v>
      </c>
      <c r="D49" s="142" t="s">
        <v>970</v>
      </c>
      <c r="E49" s="142" t="s">
        <v>229</v>
      </c>
      <c r="F49" s="142" t="s">
        <v>542</v>
      </c>
      <c r="G49" s="149" t="s">
        <v>940</v>
      </c>
      <c r="H49" s="209" t="s">
        <v>173</v>
      </c>
      <c r="I49" s="146" t="s">
        <v>944</v>
      </c>
    </row>
    <row r="50" spans="1:9" ht="15.75" x14ac:dyDescent="0.25">
      <c r="A50" s="144">
        <v>34</v>
      </c>
      <c r="B50" s="23" t="s">
        <v>990</v>
      </c>
      <c r="C50" s="259">
        <v>45793</v>
      </c>
      <c r="D50" s="142" t="s">
        <v>970</v>
      </c>
      <c r="E50" s="142" t="s">
        <v>229</v>
      </c>
      <c r="F50" s="142" t="s">
        <v>229</v>
      </c>
      <c r="G50" s="149" t="s">
        <v>940</v>
      </c>
      <c r="H50" s="209" t="s">
        <v>171</v>
      </c>
      <c r="I50" s="146" t="s">
        <v>944</v>
      </c>
    </row>
    <row r="51" spans="1:9" ht="15.75" x14ac:dyDescent="0.25">
      <c r="A51" s="144">
        <v>36</v>
      </c>
      <c r="B51" s="23" t="s">
        <v>992</v>
      </c>
      <c r="C51" s="259">
        <v>45797</v>
      </c>
      <c r="D51" s="142" t="s">
        <v>935</v>
      </c>
      <c r="E51" s="142"/>
      <c r="F51" s="142"/>
      <c r="G51" s="149" t="s">
        <v>940</v>
      </c>
      <c r="H51" s="209"/>
      <c r="I51" s="146" t="s">
        <v>993</v>
      </c>
    </row>
    <row r="52" spans="1:9" ht="15.75" x14ac:dyDescent="0.25">
      <c r="A52" s="144">
        <v>44</v>
      </c>
      <c r="B52" s="23" t="s">
        <v>1003</v>
      </c>
      <c r="C52" s="259">
        <v>45797</v>
      </c>
      <c r="D52" s="142" t="s">
        <v>948</v>
      </c>
      <c r="E52" s="142" t="s">
        <v>229</v>
      </c>
      <c r="F52" s="142" t="s">
        <v>229</v>
      </c>
      <c r="G52" s="149" t="s">
        <v>940</v>
      </c>
      <c r="H52" s="209"/>
      <c r="I52" s="146" t="s">
        <v>1004</v>
      </c>
    </row>
    <row r="53" spans="1:9" ht="15.75" x14ac:dyDescent="0.25">
      <c r="A53" s="144">
        <v>50</v>
      </c>
      <c r="B53" s="172" t="s">
        <v>1010</v>
      </c>
      <c r="C53" s="260">
        <v>45797</v>
      </c>
      <c r="D53" s="173" t="s">
        <v>972</v>
      </c>
      <c r="E53" s="173" t="s">
        <v>229</v>
      </c>
      <c r="F53" s="174" t="s">
        <v>229</v>
      </c>
      <c r="G53" s="149" t="s">
        <v>940</v>
      </c>
      <c r="H53" s="209" t="s">
        <v>171</v>
      </c>
      <c r="I53" s="146" t="s">
        <v>1011</v>
      </c>
    </row>
    <row r="54" spans="1:9" ht="15.75" x14ac:dyDescent="0.25">
      <c r="A54" s="242">
        <v>37</v>
      </c>
      <c r="B54" s="243" t="s">
        <v>994</v>
      </c>
      <c r="C54" s="261">
        <v>45798</v>
      </c>
      <c r="D54" s="143" t="s">
        <v>978</v>
      </c>
      <c r="E54" s="143" t="s">
        <v>229</v>
      </c>
      <c r="F54" s="143" t="s">
        <v>229</v>
      </c>
      <c r="G54" s="245" t="s">
        <v>940</v>
      </c>
      <c r="H54" s="210"/>
      <c r="I54" s="244" t="s">
        <v>995</v>
      </c>
    </row>
    <row r="55" spans="1:9" ht="15.75" x14ac:dyDescent="0.25">
      <c r="A55" s="144">
        <v>38</v>
      </c>
      <c r="B55" s="23" t="s">
        <v>996</v>
      </c>
      <c r="C55" s="259">
        <v>45798</v>
      </c>
      <c r="D55" s="142" t="s">
        <v>935</v>
      </c>
      <c r="E55" s="142" t="s">
        <v>229</v>
      </c>
      <c r="F55" s="142" t="s">
        <v>229</v>
      </c>
      <c r="G55" s="149" t="s">
        <v>936</v>
      </c>
      <c r="H55" s="209" t="s">
        <v>173</v>
      </c>
      <c r="I55" s="146" t="s">
        <v>997</v>
      </c>
    </row>
    <row r="56" spans="1:9" ht="15.75" x14ac:dyDescent="0.25">
      <c r="A56" s="144">
        <v>39</v>
      </c>
      <c r="B56" s="23" t="s">
        <v>998</v>
      </c>
      <c r="C56" s="259">
        <v>45798</v>
      </c>
      <c r="D56" s="142" t="s">
        <v>970</v>
      </c>
      <c r="E56" s="142" t="s">
        <v>229</v>
      </c>
      <c r="F56" s="142" t="s">
        <v>229</v>
      </c>
      <c r="G56" s="149" t="s">
        <v>940</v>
      </c>
      <c r="H56" s="209" t="s">
        <v>171</v>
      </c>
      <c r="I56" s="146" t="s">
        <v>944</v>
      </c>
    </row>
    <row r="57" spans="1:9" ht="15.75" x14ac:dyDescent="0.25">
      <c r="A57" s="144">
        <v>40</v>
      </c>
      <c r="B57" s="23" t="s">
        <v>999</v>
      </c>
      <c r="C57" s="259">
        <v>45798</v>
      </c>
      <c r="D57" s="142" t="s">
        <v>935</v>
      </c>
      <c r="E57" s="142" t="s">
        <v>229</v>
      </c>
      <c r="F57" s="142" t="s">
        <v>229</v>
      </c>
      <c r="G57" s="149" t="s">
        <v>940</v>
      </c>
      <c r="H57" s="209" t="s">
        <v>171</v>
      </c>
      <c r="I57" s="146" t="s">
        <v>944</v>
      </c>
    </row>
    <row r="58" spans="1:9" ht="15.75" x14ac:dyDescent="0.25">
      <c r="A58" s="144">
        <v>41</v>
      </c>
      <c r="B58" s="23" t="s">
        <v>1000</v>
      </c>
      <c r="C58" s="259">
        <v>45798</v>
      </c>
      <c r="D58" s="142" t="s">
        <v>935</v>
      </c>
      <c r="E58" s="142" t="s">
        <v>542</v>
      </c>
      <c r="F58" s="142" t="s">
        <v>542</v>
      </c>
      <c r="G58" s="149" t="s">
        <v>940</v>
      </c>
      <c r="H58" s="209" t="s">
        <v>172</v>
      </c>
      <c r="I58" s="146" t="s">
        <v>944</v>
      </c>
    </row>
    <row r="59" spans="1:9" ht="15.75" x14ac:dyDescent="0.25">
      <c r="A59" s="144">
        <v>42</v>
      </c>
      <c r="B59" s="23" t="s">
        <v>1001</v>
      </c>
      <c r="C59" s="259">
        <v>45798</v>
      </c>
      <c r="D59" s="142" t="s">
        <v>970</v>
      </c>
      <c r="E59" s="142" t="s">
        <v>542</v>
      </c>
      <c r="F59" s="142" t="s">
        <v>229</v>
      </c>
      <c r="G59" s="149" t="s">
        <v>940</v>
      </c>
      <c r="H59" s="209" t="s">
        <v>170</v>
      </c>
      <c r="I59" s="146" t="s">
        <v>944</v>
      </c>
    </row>
    <row r="60" spans="1:9" ht="15.75" x14ac:dyDescent="0.25">
      <c r="A60" s="144">
        <v>43</v>
      </c>
      <c r="B60" s="23" t="s">
        <v>1002</v>
      </c>
      <c r="C60" s="259">
        <v>45798</v>
      </c>
      <c r="D60" s="142" t="s">
        <v>970</v>
      </c>
      <c r="E60" s="142" t="s">
        <v>229</v>
      </c>
      <c r="F60" s="142" t="s">
        <v>229</v>
      </c>
      <c r="G60" s="149" t="s">
        <v>940</v>
      </c>
      <c r="H60" s="209" t="s">
        <v>172</v>
      </c>
      <c r="I60" s="146" t="s">
        <v>944</v>
      </c>
    </row>
    <row r="61" spans="1:9" ht="15.75" x14ac:dyDescent="0.25">
      <c r="A61" s="144">
        <v>45</v>
      </c>
      <c r="B61" s="23" t="s">
        <v>1005</v>
      </c>
      <c r="C61" s="259">
        <v>45799</v>
      </c>
      <c r="D61" s="142" t="s">
        <v>946</v>
      </c>
      <c r="E61" s="142" t="s">
        <v>229</v>
      </c>
      <c r="F61" s="142" t="s">
        <v>542</v>
      </c>
      <c r="G61" s="149" t="s">
        <v>940</v>
      </c>
      <c r="H61" s="209" t="s">
        <v>173</v>
      </c>
      <c r="I61" s="146" t="s">
        <v>944</v>
      </c>
    </row>
    <row r="62" spans="1:9" ht="15.75" x14ac:dyDescent="0.25">
      <c r="A62" s="144">
        <v>46</v>
      </c>
      <c r="B62" s="23" t="s">
        <v>1006</v>
      </c>
      <c r="C62" s="259">
        <v>45799</v>
      </c>
      <c r="D62" s="142" t="s">
        <v>959</v>
      </c>
      <c r="E62" s="142" t="s">
        <v>542</v>
      </c>
      <c r="F62" s="142" t="s">
        <v>229</v>
      </c>
      <c r="G62" s="149" t="s">
        <v>940</v>
      </c>
      <c r="H62" s="209" t="s">
        <v>172</v>
      </c>
      <c r="I62" s="146" t="s">
        <v>944</v>
      </c>
    </row>
    <row r="63" spans="1:9" ht="15.75" x14ac:dyDescent="0.25">
      <c r="A63" s="144">
        <v>47</v>
      </c>
      <c r="B63" s="23" t="s">
        <v>1007</v>
      </c>
      <c r="C63" s="259">
        <v>45799</v>
      </c>
      <c r="D63" s="142" t="s">
        <v>959</v>
      </c>
      <c r="E63" s="142" t="s">
        <v>542</v>
      </c>
      <c r="F63" s="142" t="s">
        <v>229</v>
      </c>
      <c r="G63" s="149" t="s">
        <v>940</v>
      </c>
      <c r="H63" s="209" t="s">
        <v>171</v>
      </c>
      <c r="I63" s="146" t="s">
        <v>944</v>
      </c>
    </row>
    <row r="64" spans="1:9" ht="15.75" x14ac:dyDescent="0.25">
      <c r="A64" s="144">
        <v>48</v>
      </c>
      <c r="B64" s="23" t="s">
        <v>1008</v>
      </c>
      <c r="C64" s="259">
        <v>45799</v>
      </c>
      <c r="D64" s="142" t="s">
        <v>959</v>
      </c>
      <c r="E64" s="142" t="s">
        <v>229</v>
      </c>
      <c r="F64" s="142" t="s">
        <v>229</v>
      </c>
      <c r="G64" s="149" t="s">
        <v>940</v>
      </c>
      <c r="H64" s="209" t="s">
        <v>170</v>
      </c>
      <c r="I64" s="146" t="s">
        <v>944</v>
      </c>
    </row>
    <row r="65" spans="1:9" ht="15.75" x14ac:dyDescent="0.25">
      <c r="A65" s="144">
        <v>49</v>
      </c>
      <c r="B65" s="23" t="s">
        <v>1009</v>
      </c>
      <c r="C65" s="259">
        <v>45799</v>
      </c>
      <c r="D65" s="142" t="s">
        <v>959</v>
      </c>
      <c r="E65" s="142" t="s">
        <v>229</v>
      </c>
      <c r="F65" s="142" t="s">
        <v>229</v>
      </c>
      <c r="G65" s="149" t="s">
        <v>940</v>
      </c>
      <c r="H65" s="209" t="s">
        <v>170</v>
      </c>
      <c r="I65" s="146" t="s">
        <v>944</v>
      </c>
    </row>
    <row r="66" spans="1:9" ht="15.75" x14ac:dyDescent="0.25">
      <c r="A66" s="144">
        <v>51</v>
      </c>
      <c r="B66" s="23" t="s">
        <v>1012</v>
      </c>
      <c r="C66" s="259">
        <v>45803</v>
      </c>
      <c r="D66" s="142" t="s">
        <v>959</v>
      </c>
      <c r="E66" s="142" t="s">
        <v>542</v>
      </c>
      <c r="F66" s="142" t="s">
        <v>229</v>
      </c>
      <c r="G66" s="149" t="s">
        <v>940</v>
      </c>
      <c r="H66" s="209" t="s">
        <v>172</v>
      </c>
      <c r="I66" s="146" t="s">
        <v>944</v>
      </c>
    </row>
    <row r="67" spans="1:9" ht="15.75" x14ac:dyDescent="0.25">
      <c r="A67" s="144">
        <v>52</v>
      </c>
      <c r="B67" s="23" t="s">
        <v>1013</v>
      </c>
      <c r="C67" s="259">
        <v>45804</v>
      </c>
      <c r="D67" s="142" t="s">
        <v>1014</v>
      </c>
      <c r="E67" s="142" t="s">
        <v>542</v>
      </c>
      <c r="F67" s="142" t="s">
        <v>229</v>
      </c>
      <c r="G67" s="149" t="s">
        <v>940</v>
      </c>
      <c r="H67" s="209" t="s">
        <v>173</v>
      </c>
      <c r="I67" s="146" t="s">
        <v>944</v>
      </c>
    </row>
    <row r="68" spans="1:9" ht="15.75" x14ac:dyDescent="0.25">
      <c r="A68" s="144">
        <v>53</v>
      </c>
      <c r="B68" s="23" t="s">
        <v>1015</v>
      </c>
      <c r="C68" s="259">
        <v>45804</v>
      </c>
      <c r="D68" s="142" t="s">
        <v>970</v>
      </c>
      <c r="E68" s="142" t="s">
        <v>542</v>
      </c>
      <c r="F68" s="142" t="s">
        <v>229</v>
      </c>
      <c r="G68" s="149" t="s">
        <v>940</v>
      </c>
      <c r="H68" s="209" t="s">
        <v>173</v>
      </c>
      <c r="I68" s="146" t="s">
        <v>944</v>
      </c>
    </row>
    <row r="69" spans="1:9" ht="15.75" x14ac:dyDescent="0.25">
      <c r="A69" s="144">
        <v>54</v>
      </c>
      <c r="B69" s="23" t="s">
        <v>1016</v>
      </c>
      <c r="C69" s="259">
        <v>45804</v>
      </c>
      <c r="D69" s="142" t="s">
        <v>959</v>
      </c>
      <c r="E69" s="142" t="s">
        <v>542</v>
      </c>
      <c r="F69" s="142" t="s">
        <v>229</v>
      </c>
      <c r="G69" s="149" t="s">
        <v>940</v>
      </c>
      <c r="H69" s="209" t="s">
        <v>173</v>
      </c>
      <c r="I69" s="146" t="s">
        <v>944</v>
      </c>
    </row>
    <row r="70" spans="1:9" ht="15.75" x14ac:dyDescent="0.25">
      <c r="A70" s="144">
        <v>55</v>
      </c>
      <c r="B70" s="23" t="s">
        <v>1017</v>
      </c>
      <c r="C70" s="259">
        <v>45805</v>
      </c>
      <c r="D70" s="142" t="s">
        <v>957</v>
      </c>
      <c r="E70" s="142" t="s">
        <v>542</v>
      </c>
      <c r="F70" s="142" t="s">
        <v>542</v>
      </c>
      <c r="G70" s="149" t="s">
        <v>940</v>
      </c>
      <c r="H70" s="209" t="s">
        <v>172</v>
      </c>
      <c r="I70" s="146" t="s">
        <v>944</v>
      </c>
    </row>
    <row r="71" spans="1:9" ht="15.75" x14ac:dyDescent="0.25">
      <c r="A71" s="144">
        <v>56</v>
      </c>
      <c r="B71" s="23" t="s">
        <v>1018</v>
      </c>
      <c r="C71" s="259">
        <v>45805</v>
      </c>
      <c r="D71" s="142" t="s">
        <v>957</v>
      </c>
      <c r="E71" s="142" t="s">
        <v>542</v>
      </c>
      <c r="F71" s="142" t="s">
        <v>229</v>
      </c>
      <c r="G71" s="212" t="s">
        <v>940</v>
      </c>
      <c r="H71" s="209" t="s">
        <v>170</v>
      </c>
      <c r="I71" s="146" t="s">
        <v>944</v>
      </c>
    </row>
    <row r="72" spans="1:9" ht="15.75" x14ac:dyDescent="0.25">
      <c r="A72" s="144">
        <v>57</v>
      </c>
      <c r="B72" s="23" t="s">
        <v>1019</v>
      </c>
      <c r="C72" s="259">
        <v>45805</v>
      </c>
      <c r="D72" s="142" t="s">
        <v>972</v>
      </c>
      <c r="E72" s="142" t="s">
        <v>542</v>
      </c>
      <c r="F72" s="142" t="s">
        <v>229</v>
      </c>
      <c r="G72" s="212" t="s">
        <v>940</v>
      </c>
      <c r="H72" s="209" t="s">
        <v>171</v>
      </c>
      <c r="I72" s="146" t="s">
        <v>944</v>
      </c>
    </row>
    <row r="73" spans="1:9" ht="15.75" x14ac:dyDescent="0.25">
      <c r="A73" s="144">
        <v>58</v>
      </c>
      <c r="B73" s="23" t="s">
        <v>1020</v>
      </c>
      <c r="C73" s="259">
        <v>45805</v>
      </c>
      <c r="D73" s="142" t="s">
        <v>948</v>
      </c>
      <c r="E73" s="142" t="s">
        <v>229</v>
      </c>
      <c r="F73" s="142" t="s">
        <v>229</v>
      </c>
      <c r="G73" s="212" t="s">
        <v>940</v>
      </c>
      <c r="H73" s="209" t="s">
        <v>170</v>
      </c>
      <c r="I73" s="146" t="s">
        <v>944</v>
      </c>
    </row>
    <row r="74" spans="1:9" ht="15.75" x14ac:dyDescent="0.25">
      <c r="A74" s="144">
        <v>59</v>
      </c>
      <c r="B74" s="23" t="s">
        <v>1021</v>
      </c>
      <c r="C74" s="259">
        <v>45805</v>
      </c>
      <c r="D74" s="142" t="s">
        <v>972</v>
      </c>
      <c r="E74" s="142" t="s">
        <v>542</v>
      </c>
      <c r="F74" s="142" t="s">
        <v>229</v>
      </c>
      <c r="G74" s="212" t="s">
        <v>940</v>
      </c>
      <c r="H74" s="209" t="s">
        <v>171</v>
      </c>
      <c r="I74" s="146" t="s">
        <v>944</v>
      </c>
    </row>
    <row r="75" spans="1:9" ht="15.75" x14ac:dyDescent="0.25">
      <c r="A75" s="144">
        <v>60</v>
      </c>
      <c r="B75" s="23" t="s">
        <v>1022</v>
      </c>
      <c r="C75" s="259">
        <v>45807</v>
      </c>
      <c r="D75" s="142" t="s">
        <v>957</v>
      </c>
      <c r="E75" s="142" t="s">
        <v>542</v>
      </c>
      <c r="F75" s="142" t="s">
        <v>229</v>
      </c>
      <c r="G75" s="212" t="s">
        <v>940</v>
      </c>
      <c r="H75" s="209" t="s">
        <v>172</v>
      </c>
      <c r="I75" s="146" t="s">
        <v>944</v>
      </c>
    </row>
    <row r="76" spans="1:9" ht="15.75" x14ac:dyDescent="0.25">
      <c r="A76" s="144">
        <v>61</v>
      </c>
      <c r="B76" s="23" t="s">
        <v>1023</v>
      </c>
      <c r="C76" s="259">
        <v>45811</v>
      </c>
      <c r="D76" s="142" t="s">
        <v>967</v>
      </c>
      <c r="E76" s="142" t="s">
        <v>542</v>
      </c>
      <c r="F76" s="142" t="s">
        <v>229</v>
      </c>
      <c r="G76" s="212" t="s">
        <v>940</v>
      </c>
      <c r="H76" s="209" t="s">
        <v>172</v>
      </c>
      <c r="I76" s="146" t="s">
        <v>944</v>
      </c>
    </row>
    <row r="77" spans="1:9" ht="15.75" x14ac:dyDescent="0.25">
      <c r="A77" s="144">
        <v>62</v>
      </c>
      <c r="B77" s="23" t="s">
        <v>1024</v>
      </c>
      <c r="C77" s="259">
        <v>45811</v>
      </c>
      <c r="D77" s="142" t="s">
        <v>948</v>
      </c>
      <c r="E77" s="142" t="s">
        <v>542</v>
      </c>
      <c r="F77" s="142" t="s">
        <v>542</v>
      </c>
      <c r="G77" s="212" t="s">
        <v>940</v>
      </c>
      <c r="H77" s="209" t="s">
        <v>172</v>
      </c>
      <c r="I77" s="146" t="s">
        <v>944</v>
      </c>
    </row>
    <row r="78" spans="1:9" ht="15.75" x14ac:dyDescent="0.25">
      <c r="A78" s="144">
        <v>63</v>
      </c>
      <c r="B78" s="23" t="s">
        <v>760</v>
      </c>
      <c r="C78" s="259">
        <v>45814</v>
      </c>
      <c r="D78" s="142" t="s">
        <v>948</v>
      </c>
      <c r="E78" s="142" t="s">
        <v>542</v>
      </c>
      <c r="F78" s="142" t="s">
        <v>229</v>
      </c>
      <c r="G78" s="212" t="s">
        <v>940</v>
      </c>
      <c r="H78" s="209" t="s">
        <v>172</v>
      </c>
      <c r="I78" s="146" t="s">
        <v>944</v>
      </c>
    </row>
    <row r="79" spans="1:9" ht="15.75" x14ac:dyDescent="0.25">
      <c r="A79" s="144">
        <v>64</v>
      </c>
      <c r="B79" s="23" t="s">
        <v>1025</v>
      </c>
      <c r="C79" s="259">
        <v>45818</v>
      </c>
      <c r="D79" s="142" t="s">
        <v>957</v>
      </c>
      <c r="E79" s="142" t="s">
        <v>229</v>
      </c>
      <c r="F79" s="142" t="s">
        <v>542</v>
      </c>
      <c r="G79" s="149" t="s">
        <v>940</v>
      </c>
      <c r="H79" s="209" t="s">
        <v>173</v>
      </c>
      <c r="I79" s="146" t="s">
        <v>944</v>
      </c>
    </row>
    <row r="80" spans="1:9" ht="15.75" x14ac:dyDescent="0.25">
      <c r="A80" s="144">
        <v>65</v>
      </c>
      <c r="B80" s="23" t="s">
        <v>1026</v>
      </c>
      <c r="C80" s="259">
        <v>45818</v>
      </c>
      <c r="D80" s="142" t="s">
        <v>1027</v>
      </c>
      <c r="E80" s="142" t="s">
        <v>229</v>
      </c>
      <c r="F80" s="142" t="s">
        <v>542</v>
      </c>
      <c r="G80" s="212" t="s">
        <v>940</v>
      </c>
      <c r="H80" s="209" t="s">
        <v>171</v>
      </c>
      <c r="I80" s="146" t="s">
        <v>944</v>
      </c>
    </row>
    <row r="81" spans="1:9" ht="15.75" x14ac:dyDescent="0.25">
      <c r="A81" s="144">
        <v>66</v>
      </c>
      <c r="B81" s="23" t="s">
        <v>1028</v>
      </c>
      <c r="C81" s="259">
        <v>45818</v>
      </c>
      <c r="D81" s="142" t="s">
        <v>959</v>
      </c>
      <c r="E81" s="142" t="s">
        <v>542</v>
      </c>
      <c r="F81" s="142" t="s">
        <v>542</v>
      </c>
      <c r="G81" s="212" t="s">
        <v>940</v>
      </c>
      <c r="H81" s="209" t="s">
        <v>170</v>
      </c>
      <c r="I81" s="146" t="s">
        <v>944</v>
      </c>
    </row>
    <row r="82" spans="1:9" ht="15.75" x14ac:dyDescent="0.25">
      <c r="A82" s="144">
        <v>67</v>
      </c>
      <c r="B82" s="23" t="s">
        <v>1029</v>
      </c>
      <c r="C82" s="259">
        <v>45818</v>
      </c>
      <c r="D82" s="142" t="s">
        <v>957</v>
      </c>
      <c r="E82" s="142" t="s">
        <v>542</v>
      </c>
      <c r="F82" s="142" t="s">
        <v>542</v>
      </c>
      <c r="G82" s="212" t="s">
        <v>940</v>
      </c>
      <c r="H82" s="209" t="s">
        <v>172</v>
      </c>
      <c r="I82" s="146" t="s">
        <v>944</v>
      </c>
    </row>
    <row r="83" spans="1:9" ht="15.75" x14ac:dyDescent="0.25">
      <c r="A83" s="144">
        <v>68</v>
      </c>
      <c r="B83" s="23" t="s">
        <v>1030</v>
      </c>
      <c r="C83" s="259">
        <v>45818</v>
      </c>
      <c r="D83" s="142" t="s">
        <v>957</v>
      </c>
      <c r="E83" s="142" t="s">
        <v>542</v>
      </c>
      <c r="F83" s="142" t="s">
        <v>229</v>
      </c>
      <c r="G83" s="212" t="s">
        <v>940</v>
      </c>
      <c r="H83" s="209" t="s">
        <v>172</v>
      </c>
      <c r="I83" s="146" t="s">
        <v>944</v>
      </c>
    </row>
    <row r="84" spans="1:9" ht="15.75" x14ac:dyDescent="0.25">
      <c r="A84" s="144">
        <v>69</v>
      </c>
      <c r="B84" s="23" t="s">
        <v>1031</v>
      </c>
      <c r="C84" s="259">
        <v>45819</v>
      </c>
      <c r="D84" s="142" t="s">
        <v>935</v>
      </c>
      <c r="E84" s="142" t="s">
        <v>542</v>
      </c>
      <c r="F84" s="142" t="s">
        <v>229</v>
      </c>
      <c r="G84" s="264" t="s">
        <v>940</v>
      </c>
      <c r="H84" s="209" t="s">
        <v>171</v>
      </c>
      <c r="I84" s="146" t="s">
        <v>944</v>
      </c>
    </row>
    <row r="85" spans="1:9" ht="15.75" x14ac:dyDescent="0.25">
      <c r="A85" s="144">
        <v>70</v>
      </c>
      <c r="B85" s="23" t="s">
        <v>1032</v>
      </c>
      <c r="C85" s="259">
        <v>45819</v>
      </c>
      <c r="D85" s="142" t="s">
        <v>935</v>
      </c>
      <c r="E85" s="142" t="s">
        <v>542</v>
      </c>
      <c r="F85" s="142" t="s">
        <v>229</v>
      </c>
      <c r="G85" s="212" t="s">
        <v>940</v>
      </c>
      <c r="H85" s="209" t="s">
        <v>170</v>
      </c>
      <c r="I85" s="146" t="s">
        <v>944</v>
      </c>
    </row>
    <row r="86" spans="1:9" ht="15.75" x14ac:dyDescent="0.25">
      <c r="A86" s="144">
        <v>72</v>
      </c>
      <c r="B86" s="23" t="s">
        <v>1035</v>
      </c>
      <c r="C86" s="259">
        <v>45826</v>
      </c>
      <c r="D86" s="142" t="s">
        <v>970</v>
      </c>
      <c r="E86" s="142" t="s">
        <v>229</v>
      </c>
      <c r="F86" s="142" t="s">
        <v>542</v>
      </c>
      <c r="G86" s="212" t="s">
        <v>940</v>
      </c>
      <c r="H86" s="209" t="s">
        <v>173</v>
      </c>
      <c r="I86" s="146" t="s">
        <v>944</v>
      </c>
    </row>
    <row r="87" spans="1:9" ht="15.75" x14ac:dyDescent="0.25">
      <c r="A87" s="144">
        <v>73</v>
      </c>
      <c r="B87" s="23" t="s">
        <v>1036</v>
      </c>
      <c r="C87" s="259">
        <v>45827</v>
      </c>
      <c r="D87" s="142" t="s">
        <v>970</v>
      </c>
      <c r="E87" s="142" t="s">
        <v>229</v>
      </c>
      <c r="F87" s="142" t="s">
        <v>542</v>
      </c>
      <c r="G87" s="212" t="s">
        <v>940</v>
      </c>
      <c r="H87" s="209" t="s">
        <v>170</v>
      </c>
      <c r="I87" s="146"/>
    </row>
    <row r="88" spans="1:9" ht="15.75" x14ac:dyDescent="0.25">
      <c r="A88" s="144">
        <v>71</v>
      </c>
      <c r="B88" s="23" t="s">
        <v>1033</v>
      </c>
      <c r="C88" s="259">
        <v>45834</v>
      </c>
      <c r="D88" s="142" t="s">
        <v>1034</v>
      </c>
      <c r="E88" s="142" t="s">
        <v>229</v>
      </c>
      <c r="F88" s="142" t="s">
        <v>229</v>
      </c>
      <c r="G88" s="232" t="s">
        <v>940</v>
      </c>
      <c r="H88" s="209" t="s">
        <v>173</v>
      </c>
      <c r="I88" s="146"/>
    </row>
    <row r="89" spans="1:9" ht="15.75" x14ac:dyDescent="0.25">
      <c r="A89" s="144">
        <v>84</v>
      </c>
      <c r="B89" s="23" t="s">
        <v>1049</v>
      </c>
      <c r="C89" s="259">
        <v>45835</v>
      </c>
      <c r="D89" s="142" t="s">
        <v>967</v>
      </c>
      <c r="E89" s="142" t="s">
        <v>542</v>
      </c>
      <c r="F89" s="142" t="s">
        <v>542</v>
      </c>
      <c r="G89" s="239" t="s">
        <v>940</v>
      </c>
      <c r="H89" s="209" t="s">
        <v>173</v>
      </c>
      <c r="I89" s="146" t="s">
        <v>944</v>
      </c>
    </row>
    <row r="90" spans="1:9" ht="15.75" x14ac:dyDescent="0.25">
      <c r="A90" s="246">
        <v>85</v>
      </c>
      <c r="B90" s="247" t="s">
        <v>1050</v>
      </c>
      <c r="C90" s="262">
        <v>45835</v>
      </c>
      <c r="D90" s="248" t="s">
        <v>967</v>
      </c>
      <c r="E90" s="248" t="s">
        <v>542</v>
      </c>
      <c r="F90" s="248" t="s">
        <v>542</v>
      </c>
      <c r="G90" s="249" t="s">
        <v>940</v>
      </c>
      <c r="H90" s="250" t="s">
        <v>173</v>
      </c>
      <c r="I90" s="251" t="s">
        <v>944</v>
      </c>
    </row>
    <row r="91" spans="1:9" ht="15.75" x14ac:dyDescent="0.25">
      <c r="A91" s="144">
        <v>86</v>
      </c>
      <c r="B91" s="23" t="s">
        <v>1051</v>
      </c>
      <c r="C91" s="262">
        <v>45840</v>
      </c>
      <c r="D91" s="142" t="s">
        <v>959</v>
      </c>
      <c r="E91" s="142" t="s">
        <v>542</v>
      </c>
      <c r="F91" s="142" t="s">
        <v>229</v>
      </c>
      <c r="G91" s="249" t="s">
        <v>940</v>
      </c>
      <c r="H91" s="209" t="s">
        <v>170</v>
      </c>
      <c r="I91" s="146"/>
    </row>
    <row r="92" spans="1:9" ht="15.75" x14ac:dyDescent="0.25">
      <c r="A92" s="144">
        <v>87</v>
      </c>
      <c r="B92" t="s">
        <v>1052</v>
      </c>
      <c r="C92" s="262">
        <v>45840</v>
      </c>
      <c r="D92" s="142" t="s">
        <v>935</v>
      </c>
      <c r="E92" s="142" t="s">
        <v>542</v>
      </c>
      <c r="F92" s="142" t="s">
        <v>229</v>
      </c>
      <c r="G92" s="249" t="s">
        <v>940</v>
      </c>
      <c r="H92" s="209" t="s">
        <v>172</v>
      </c>
      <c r="I92" s="146" t="s">
        <v>1053</v>
      </c>
    </row>
    <row r="93" spans="1:9" ht="15.75" x14ac:dyDescent="0.25">
      <c r="A93" s="144">
        <v>88</v>
      </c>
      <c r="B93" t="s">
        <v>1054</v>
      </c>
      <c r="C93" s="262">
        <v>45840</v>
      </c>
      <c r="D93" s="142" t="s">
        <v>959</v>
      </c>
      <c r="E93" s="142" t="s">
        <v>542</v>
      </c>
      <c r="F93" s="142" t="s">
        <v>229</v>
      </c>
      <c r="G93" s="149" t="s">
        <v>940</v>
      </c>
      <c r="H93" s="209" t="s">
        <v>173</v>
      </c>
      <c r="I93" s="146" t="s">
        <v>944</v>
      </c>
    </row>
    <row r="94" spans="1:9" ht="15.75" x14ac:dyDescent="0.25">
      <c r="A94" s="144">
        <v>89</v>
      </c>
      <c r="B94" t="s">
        <v>1055</v>
      </c>
      <c r="C94" s="262">
        <v>45840</v>
      </c>
      <c r="D94" s="142" t="s">
        <v>1027</v>
      </c>
      <c r="E94" s="142" t="s">
        <v>542</v>
      </c>
      <c r="F94" s="142" t="s">
        <v>542</v>
      </c>
      <c r="G94" s="249" t="s">
        <v>940</v>
      </c>
      <c r="H94" s="209" t="s">
        <v>172</v>
      </c>
      <c r="I94" s="146" t="s">
        <v>944</v>
      </c>
    </row>
    <row r="95" spans="1:9" ht="15.75" x14ac:dyDescent="0.25">
      <c r="A95" s="144">
        <v>90</v>
      </c>
      <c r="B95" t="s">
        <v>1056</v>
      </c>
      <c r="C95" s="262">
        <v>45840</v>
      </c>
      <c r="D95" s="173" t="s">
        <v>959</v>
      </c>
      <c r="E95" s="173" t="s">
        <v>542</v>
      </c>
      <c r="F95" s="174" t="s">
        <v>542</v>
      </c>
      <c r="G95" s="249" t="s">
        <v>940</v>
      </c>
      <c r="H95" s="209" t="s">
        <v>172</v>
      </c>
      <c r="I95" s="251" t="s">
        <v>944</v>
      </c>
    </row>
    <row r="96" spans="1:9" ht="15.75" x14ac:dyDescent="0.25">
      <c r="A96" s="144">
        <v>91</v>
      </c>
      <c r="B96" t="s">
        <v>1057</v>
      </c>
      <c r="C96" s="262">
        <v>45841</v>
      </c>
      <c r="D96" s="142" t="s">
        <v>1058</v>
      </c>
      <c r="E96" s="142" t="s">
        <v>542</v>
      </c>
      <c r="F96" s="142" t="s">
        <v>229</v>
      </c>
      <c r="G96" s="249" t="s">
        <v>940</v>
      </c>
      <c r="H96" s="209" t="s">
        <v>172</v>
      </c>
      <c r="I96" s="251" t="s">
        <v>944</v>
      </c>
    </row>
    <row r="97" spans="1:9" ht="15.75" x14ac:dyDescent="0.25">
      <c r="A97" s="144">
        <v>92</v>
      </c>
      <c r="B97" t="s">
        <v>1059</v>
      </c>
      <c r="C97" s="262">
        <v>45841</v>
      </c>
      <c r="D97" s="142" t="s">
        <v>948</v>
      </c>
      <c r="E97" s="142" t="s">
        <v>229</v>
      </c>
      <c r="F97" s="142" t="s">
        <v>229</v>
      </c>
      <c r="G97" s="249" t="s">
        <v>940</v>
      </c>
      <c r="H97" s="209" t="s">
        <v>172</v>
      </c>
      <c r="I97" s="251" t="s">
        <v>944</v>
      </c>
    </row>
    <row r="98" spans="1:9" ht="15.75" x14ac:dyDescent="0.25">
      <c r="A98" s="144">
        <v>93</v>
      </c>
      <c r="B98" t="s">
        <v>1060</v>
      </c>
      <c r="C98" s="262">
        <v>45842</v>
      </c>
      <c r="D98" s="142" t="s">
        <v>957</v>
      </c>
      <c r="E98" s="142" t="s">
        <v>229</v>
      </c>
      <c r="F98" s="142" t="s">
        <v>542</v>
      </c>
      <c r="G98" s="249" t="s">
        <v>940</v>
      </c>
      <c r="H98" s="209" t="s">
        <v>172</v>
      </c>
      <c r="I98" s="251" t="s">
        <v>944</v>
      </c>
    </row>
    <row r="99" spans="1:9" ht="15.75" x14ac:dyDescent="0.25">
      <c r="A99" s="144">
        <v>94</v>
      </c>
      <c r="B99" t="s">
        <v>1061</v>
      </c>
      <c r="C99" s="262">
        <v>45842</v>
      </c>
      <c r="D99" s="142" t="s">
        <v>957</v>
      </c>
      <c r="E99" s="142" t="s">
        <v>542</v>
      </c>
      <c r="F99" s="142" t="s">
        <v>229</v>
      </c>
      <c r="G99" s="249" t="s">
        <v>940</v>
      </c>
      <c r="H99" s="209" t="s">
        <v>172</v>
      </c>
      <c r="I99" s="251" t="s">
        <v>944</v>
      </c>
    </row>
    <row r="100" spans="1:9" ht="15.75" x14ac:dyDescent="0.25">
      <c r="A100" s="144">
        <f t="shared" ref="A100:A134" si="0">A99+1</f>
        <v>95</v>
      </c>
      <c r="B100" t="s">
        <v>1062</v>
      </c>
      <c r="C100" s="262">
        <v>45842</v>
      </c>
      <c r="D100" s="142" t="s">
        <v>957</v>
      </c>
      <c r="E100" s="142" t="s">
        <v>542</v>
      </c>
      <c r="F100" s="142" t="s">
        <v>229</v>
      </c>
      <c r="G100" s="249" t="s">
        <v>940</v>
      </c>
      <c r="H100" s="209" t="s">
        <v>172</v>
      </c>
      <c r="I100" s="251" t="s">
        <v>944</v>
      </c>
    </row>
    <row r="101" spans="1:9" ht="15.75" x14ac:dyDescent="0.25">
      <c r="A101" s="144">
        <f t="shared" si="0"/>
        <v>96</v>
      </c>
      <c r="B101" t="s">
        <v>1066</v>
      </c>
      <c r="C101" s="259">
        <v>45845</v>
      </c>
      <c r="D101" s="142" t="s">
        <v>957</v>
      </c>
      <c r="E101" s="142" t="s">
        <v>229</v>
      </c>
      <c r="F101" s="142" t="s">
        <v>229</v>
      </c>
      <c r="G101" s="249" t="s">
        <v>940</v>
      </c>
      <c r="H101" s="209" t="s">
        <v>172</v>
      </c>
      <c r="I101" s="251" t="s">
        <v>944</v>
      </c>
    </row>
    <row r="102" spans="1:9" ht="15.75" x14ac:dyDescent="0.25">
      <c r="A102" s="144">
        <f t="shared" si="0"/>
        <v>97</v>
      </c>
      <c r="B102" t="s">
        <v>1067</v>
      </c>
      <c r="C102" s="259">
        <v>45845</v>
      </c>
      <c r="D102" s="142" t="s">
        <v>957</v>
      </c>
      <c r="E102" s="142" t="s">
        <v>229</v>
      </c>
      <c r="F102" s="142" t="s">
        <v>229</v>
      </c>
      <c r="G102" s="249" t="s">
        <v>940</v>
      </c>
      <c r="H102" s="209" t="s">
        <v>172</v>
      </c>
      <c r="I102" s="251" t="s">
        <v>944</v>
      </c>
    </row>
    <row r="103" spans="1:9" ht="15.75" x14ac:dyDescent="0.25">
      <c r="A103" s="144">
        <f t="shared" si="0"/>
        <v>98</v>
      </c>
      <c r="B103" t="s">
        <v>1063</v>
      </c>
      <c r="C103" s="259">
        <v>45846</v>
      </c>
      <c r="D103" s="142" t="s">
        <v>959</v>
      </c>
      <c r="E103" s="142" t="s">
        <v>542</v>
      </c>
      <c r="F103" s="142" t="s">
        <v>229</v>
      </c>
      <c r="G103" s="249" t="s">
        <v>940</v>
      </c>
      <c r="H103" s="209" t="s">
        <v>172</v>
      </c>
      <c r="I103" s="251" t="s">
        <v>944</v>
      </c>
    </row>
    <row r="104" spans="1:9" ht="15.75" x14ac:dyDescent="0.25">
      <c r="A104" s="144">
        <f t="shared" si="0"/>
        <v>99</v>
      </c>
      <c r="B104" t="s">
        <v>1064</v>
      </c>
      <c r="C104" s="259">
        <v>45846</v>
      </c>
      <c r="D104" s="142" t="s">
        <v>959</v>
      </c>
      <c r="E104" s="142" t="s">
        <v>229</v>
      </c>
      <c r="F104" s="142" t="s">
        <v>229</v>
      </c>
      <c r="G104" s="249" t="s">
        <v>940</v>
      </c>
      <c r="H104" s="209" t="s">
        <v>172</v>
      </c>
      <c r="I104" s="251" t="s">
        <v>944</v>
      </c>
    </row>
    <row r="105" spans="1:9" ht="15.75" x14ac:dyDescent="0.25">
      <c r="A105" s="242">
        <f t="shared" si="0"/>
        <v>100</v>
      </c>
      <c r="B105" t="s">
        <v>1444</v>
      </c>
      <c r="C105" s="261">
        <v>45846</v>
      </c>
      <c r="D105" s="142" t="s">
        <v>970</v>
      </c>
      <c r="E105" s="142" t="s">
        <v>229</v>
      </c>
      <c r="F105" s="142" t="s">
        <v>542</v>
      </c>
      <c r="G105" s="249" t="s">
        <v>940</v>
      </c>
      <c r="H105" s="209" t="s">
        <v>173</v>
      </c>
      <c r="I105" s="251" t="s">
        <v>944</v>
      </c>
    </row>
    <row r="106" spans="1:9" ht="15.75" x14ac:dyDescent="0.25">
      <c r="A106" s="144">
        <f t="shared" si="0"/>
        <v>101</v>
      </c>
      <c r="B106" t="s">
        <v>1065</v>
      </c>
      <c r="C106" s="261">
        <v>45847</v>
      </c>
      <c r="D106" s="173" t="s">
        <v>959</v>
      </c>
      <c r="E106" s="173" t="s">
        <v>542</v>
      </c>
      <c r="F106" s="174" t="s">
        <v>229</v>
      </c>
      <c r="G106" s="149" t="s">
        <v>940</v>
      </c>
      <c r="H106" s="209" t="s">
        <v>172</v>
      </c>
      <c r="I106" s="146" t="s">
        <v>944</v>
      </c>
    </row>
    <row r="107" spans="1:9" ht="15.75" x14ac:dyDescent="0.25">
      <c r="A107" s="144">
        <f t="shared" si="0"/>
        <v>102</v>
      </c>
      <c r="B107" t="s">
        <v>1068</v>
      </c>
      <c r="C107" s="261">
        <v>45848</v>
      </c>
      <c r="D107" s="142" t="s">
        <v>957</v>
      </c>
      <c r="E107" s="142" t="s">
        <v>229</v>
      </c>
      <c r="F107" s="142" t="s">
        <v>229</v>
      </c>
      <c r="G107" s="149" t="s">
        <v>940</v>
      </c>
      <c r="H107" s="209" t="s">
        <v>173</v>
      </c>
      <c r="I107" s="146" t="s">
        <v>944</v>
      </c>
    </row>
    <row r="108" spans="1:9" ht="15.75" x14ac:dyDescent="0.25">
      <c r="A108" s="144">
        <f t="shared" si="0"/>
        <v>103</v>
      </c>
      <c r="B108" s="23" t="s">
        <v>1069</v>
      </c>
      <c r="C108" s="259">
        <v>45848</v>
      </c>
      <c r="D108" s="142" t="s">
        <v>972</v>
      </c>
      <c r="E108" s="142" t="s">
        <v>229</v>
      </c>
      <c r="F108" s="142" t="s">
        <v>229</v>
      </c>
      <c r="G108" s="149" t="s">
        <v>940</v>
      </c>
      <c r="H108" s="209" t="s">
        <v>173</v>
      </c>
      <c r="I108" s="146" t="s">
        <v>944</v>
      </c>
    </row>
    <row r="109" spans="1:9" ht="15.75" x14ac:dyDescent="0.25">
      <c r="A109" s="144">
        <f t="shared" si="0"/>
        <v>104</v>
      </c>
      <c r="B109" s="23" t="s">
        <v>1070</v>
      </c>
      <c r="C109" s="76">
        <v>45849</v>
      </c>
      <c r="D109" s="142" t="s">
        <v>935</v>
      </c>
      <c r="E109" s="142" t="s">
        <v>229</v>
      </c>
      <c r="F109" s="142" t="s">
        <v>229</v>
      </c>
      <c r="G109" s="149" t="s">
        <v>940</v>
      </c>
      <c r="H109" s="209" t="s">
        <v>173</v>
      </c>
      <c r="I109" s="146" t="s">
        <v>944</v>
      </c>
    </row>
    <row r="110" spans="1:9" ht="15.75" x14ac:dyDescent="0.25">
      <c r="A110" s="144">
        <f t="shared" si="0"/>
        <v>105</v>
      </c>
      <c r="B110" t="s">
        <v>1072</v>
      </c>
      <c r="C110" s="259">
        <v>45852</v>
      </c>
      <c r="D110" s="142" t="s">
        <v>935</v>
      </c>
      <c r="E110" s="142" t="s">
        <v>542</v>
      </c>
      <c r="F110" s="142" t="s">
        <v>542</v>
      </c>
      <c r="G110" s="149" t="s">
        <v>940</v>
      </c>
      <c r="H110" s="209" t="s">
        <v>173</v>
      </c>
      <c r="I110" s="146" t="s">
        <v>944</v>
      </c>
    </row>
    <row r="111" spans="1:9" ht="15.75" x14ac:dyDescent="0.25">
      <c r="A111" s="144">
        <f t="shared" si="0"/>
        <v>106</v>
      </c>
      <c r="B111" t="s">
        <v>1073</v>
      </c>
      <c r="C111" s="76">
        <v>45852</v>
      </c>
      <c r="D111" s="142" t="s">
        <v>935</v>
      </c>
      <c r="E111" s="142" t="s">
        <v>229</v>
      </c>
      <c r="F111" s="142" t="s">
        <v>229</v>
      </c>
      <c r="G111" s="149" t="s">
        <v>940</v>
      </c>
      <c r="H111" s="209" t="s">
        <v>173</v>
      </c>
      <c r="I111" s="146" t="s">
        <v>944</v>
      </c>
    </row>
    <row r="112" spans="1:9" ht="15.75" x14ac:dyDescent="0.25">
      <c r="A112" s="144">
        <f t="shared" si="0"/>
        <v>107</v>
      </c>
      <c r="B112" t="s">
        <v>1071</v>
      </c>
      <c r="C112" s="259">
        <v>45853</v>
      </c>
      <c r="D112" s="142" t="s">
        <v>935</v>
      </c>
      <c r="E112" s="142" t="s">
        <v>229</v>
      </c>
      <c r="F112" s="142" t="s">
        <v>229</v>
      </c>
      <c r="G112" s="149" t="s">
        <v>940</v>
      </c>
      <c r="H112" s="209" t="s">
        <v>173</v>
      </c>
      <c r="I112" s="146" t="s">
        <v>944</v>
      </c>
    </row>
    <row r="113" spans="1:9" ht="15.75" x14ac:dyDescent="0.25">
      <c r="A113" s="144">
        <f t="shared" si="0"/>
        <v>108</v>
      </c>
      <c r="B113" t="s">
        <v>1370</v>
      </c>
      <c r="C113" s="259">
        <v>45859</v>
      </c>
      <c r="D113" s="142" t="s">
        <v>959</v>
      </c>
      <c r="E113" s="142" t="s">
        <v>542</v>
      </c>
      <c r="F113" s="142" t="s">
        <v>542</v>
      </c>
      <c r="G113" s="149" t="s">
        <v>940</v>
      </c>
      <c r="H113" s="209" t="s">
        <v>172</v>
      </c>
      <c r="I113" s="146" t="s">
        <v>944</v>
      </c>
    </row>
    <row r="114" spans="1:9" ht="15.75" x14ac:dyDescent="0.25">
      <c r="A114" s="144">
        <f t="shared" si="0"/>
        <v>109</v>
      </c>
      <c r="B114" t="s">
        <v>1074</v>
      </c>
      <c r="C114" s="259">
        <v>45868</v>
      </c>
      <c r="D114" s="142" t="s">
        <v>1014</v>
      </c>
      <c r="E114" s="142" t="s">
        <v>542</v>
      </c>
      <c r="F114" s="142" t="s">
        <v>229</v>
      </c>
      <c r="G114" s="149" t="s">
        <v>940</v>
      </c>
      <c r="H114" s="209" t="s">
        <v>172</v>
      </c>
      <c r="I114" s="146" t="s">
        <v>944</v>
      </c>
    </row>
    <row r="115" spans="1:9" ht="15.75" x14ac:dyDescent="0.25">
      <c r="A115" s="144">
        <f t="shared" si="0"/>
        <v>110</v>
      </c>
      <c r="B115" t="s">
        <v>1076</v>
      </c>
      <c r="C115" s="259">
        <v>45868</v>
      </c>
      <c r="D115" s="142" t="s">
        <v>1014</v>
      </c>
      <c r="E115" s="142" t="s">
        <v>542</v>
      </c>
      <c r="F115" s="142" t="s">
        <v>229</v>
      </c>
      <c r="G115" s="149" t="s">
        <v>940</v>
      </c>
      <c r="H115" s="209" t="s">
        <v>172</v>
      </c>
      <c r="I115" s="146" t="s">
        <v>944</v>
      </c>
    </row>
    <row r="116" spans="1:9" ht="15.75" x14ac:dyDescent="0.25">
      <c r="A116" s="144">
        <f t="shared" si="0"/>
        <v>111</v>
      </c>
      <c r="B116" t="s">
        <v>1077</v>
      </c>
      <c r="C116" s="259">
        <v>45868</v>
      </c>
      <c r="D116" s="142" t="s">
        <v>1014</v>
      </c>
      <c r="E116" s="142" t="s">
        <v>542</v>
      </c>
      <c r="F116" s="142" t="s">
        <v>229</v>
      </c>
      <c r="G116" s="149" t="s">
        <v>940</v>
      </c>
      <c r="H116" s="209" t="s">
        <v>172</v>
      </c>
      <c r="I116" s="146" t="s">
        <v>944</v>
      </c>
    </row>
    <row r="117" spans="1:9" ht="15.75" x14ac:dyDescent="0.25">
      <c r="A117" s="144">
        <f t="shared" si="0"/>
        <v>112</v>
      </c>
      <c r="B117" t="s">
        <v>1388</v>
      </c>
      <c r="C117" s="259">
        <v>45868</v>
      </c>
      <c r="D117" s="142" t="s">
        <v>957</v>
      </c>
      <c r="E117" s="142" t="s">
        <v>229</v>
      </c>
      <c r="F117" s="142" t="s">
        <v>229</v>
      </c>
      <c r="G117" s="149" t="s">
        <v>940</v>
      </c>
      <c r="H117" s="209" t="s">
        <v>172</v>
      </c>
      <c r="I117" s="146" t="s">
        <v>944</v>
      </c>
    </row>
    <row r="118" spans="1:9" ht="15.75" x14ac:dyDescent="0.25">
      <c r="A118" s="144">
        <f t="shared" si="0"/>
        <v>113</v>
      </c>
      <c r="B118" t="s">
        <v>1078</v>
      </c>
      <c r="C118" s="259">
        <v>45869</v>
      </c>
      <c r="D118" s="142" t="s">
        <v>1014</v>
      </c>
      <c r="E118" s="142" t="s">
        <v>542</v>
      </c>
      <c r="F118" s="142" t="s">
        <v>229</v>
      </c>
      <c r="G118" s="149" t="s">
        <v>940</v>
      </c>
      <c r="H118" s="209" t="s">
        <v>172</v>
      </c>
      <c r="I118" s="146" t="s">
        <v>944</v>
      </c>
    </row>
    <row r="119" spans="1:9" ht="15.75" x14ac:dyDescent="0.25">
      <c r="A119" s="144">
        <f t="shared" si="0"/>
        <v>114</v>
      </c>
      <c r="B119" s="23" t="s">
        <v>1079</v>
      </c>
      <c r="C119" s="259">
        <v>45873</v>
      </c>
      <c r="D119" s="142" t="s">
        <v>1014</v>
      </c>
      <c r="E119" s="142" t="s">
        <v>229</v>
      </c>
      <c r="F119" s="142" t="s">
        <v>229</v>
      </c>
      <c r="G119" s="149" t="s">
        <v>940</v>
      </c>
      <c r="H119" s="209" t="s">
        <v>173</v>
      </c>
      <c r="I119" s="146" t="s">
        <v>944</v>
      </c>
    </row>
    <row r="120" spans="1:9" ht="15.75" x14ac:dyDescent="0.25">
      <c r="A120" s="144">
        <f t="shared" si="0"/>
        <v>115</v>
      </c>
      <c r="B120" t="s">
        <v>1384</v>
      </c>
      <c r="C120" s="259">
        <v>45873</v>
      </c>
      <c r="D120" s="142" t="s">
        <v>935</v>
      </c>
      <c r="E120" s="142" t="s">
        <v>229</v>
      </c>
      <c r="F120" s="142" t="s">
        <v>229</v>
      </c>
      <c r="G120" s="149" t="s">
        <v>940</v>
      </c>
      <c r="H120" s="209" t="s">
        <v>172</v>
      </c>
      <c r="I120" s="146" t="s">
        <v>944</v>
      </c>
    </row>
    <row r="121" spans="1:9" ht="15.75" x14ac:dyDescent="0.25">
      <c r="A121" s="144">
        <f t="shared" si="0"/>
        <v>116</v>
      </c>
      <c r="B121" s="23" t="s">
        <v>1386</v>
      </c>
      <c r="C121" s="259">
        <v>45873</v>
      </c>
      <c r="D121" s="142" t="s">
        <v>935</v>
      </c>
      <c r="E121" s="142" t="s">
        <v>229</v>
      </c>
      <c r="F121" s="142" t="s">
        <v>229</v>
      </c>
      <c r="G121" s="149" t="s">
        <v>940</v>
      </c>
      <c r="H121" s="209" t="s">
        <v>172</v>
      </c>
      <c r="I121" s="146" t="s">
        <v>944</v>
      </c>
    </row>
    <row r="122" spans="1:9" ht="15.75" x14ac:dyDescent="0.25">
      <c r="A122" s="144">
        <f t="shared" si="0"/>
        <v>117</v>
      </c>
      <c r="B122" s="23" t="s">
        <v>1396</v>
      </c>
      <c r="C122" s="259">
        <v>45873</v>
      </c>
      <c r="D122" s="142" t="s">
        <v>935</v>
      </c>
      <c r="E122" s="142" t="s">
        <v>229</v>
      </c>
      <c r="F122" s="142" t="s">
        <v>542</v>
      </c>
      <c r="G122" s="149" t="s">
        <v>940</v>
      </c>
      <c r="H122" s="209" t="s">
        <v>172</v>
      </c>
      <c r="I122" s="146" t="s">
        <v>944</v>
      </c>
    </row>
    <row r="123" spans="1:9" ht="15.75" x14ac:dyDescent="0.25">
      <c r="A123" s="144">
        <f t="shared" si="0"/>
        <v>118</v>
      </c>
      <c r="B123" s="23" t="s">
        <v>1398</v>
      </c>
      <c r="C123" s="259">
        <v>45873</v>
      </c>
      <c r="D123" s="142" t="s">
        <v>935</v>
      </c>
      <c r="E123" s="142" t="s">
        <v>229</v>
      </c>
      <c r="F123" s="142" t="s">
        <v>542</v>
      </c>
      <c r="G123" s="149" t="s">
        <v>940</v>
      </c>
      <c r="H123" s="209" t="s">
        <v>172</v>
      </c>
      <c r="I123" s="146" t="s">
        <v>944</v>
      </c>
    </row>
    <row r="124" spans="1:9" ht="15.75" x14ac:dyDescent="0.25">
      <c r="A124" s="144">
        <f t="shared" si="0"/>
        <v>119</v>
      </c>
      <c r="B124" s="23" t="s">
        <v>1434</v>
      </c>
      <c r="C124" s="259">
        <v>45874</v>
      </c>
      <c r="D124" s="142" t="s">
        <v>970</v>
      </c>
      <c r="E124" s="142" t="s">
        <v>229</v>
      </c>
      <c r="F124" s="142" t="s">
        <v>542</v>
      </c>
      <c r="G124" s="149" t="s">
        <v>940</v>
      </c>
      <c r="H124" s="209" t="s">
        <v>173</v>
      </c>
      <c r="I124" s="146" t="s">
        <v>944</v>
      </c>
    </row>
    <row r="125" spans="1:9" ht="15.75" customHeight="1" x14ac:dyDescent="0.25">
      <c r="A125" s="144">
        <f t="shared" si="0"/>
        <v>120</v>
      </c>
      <c r="B125" s="23" t="s">
        <v>1397</v>
      </c>
      <c r="C125" s="259">
        <v>45875</v>
      </c>
      <c r="D125" s="142" t="s">
        <v>935</v>
      </c>
      <c r="E125" s="142" t="s">
        <v>229</v>
      </c>
      <c r="F125" s="142" t="s">
        <v>542</v>
      </c>
      <c r="G125" s="149" t="s">
        <v>940</v>
      </c>
      <c r="H125" s="209" t="s">
        <v>173</v>
      </c>
      <c r="I125" s="146" t="s">
        <v>944</v>
      </c>
    </row>
    <row r="126" spans="1:9" ht="15.75" x14ac:dyDescent="0.25">
      <c r="A126" s="144">
        <f t="shared" si="0"/>
        <v>121</v>
      </c>
      <c r="B126" s="81" t="s">
        <v>1442</v>
      </c>
      <c r="C126" s="259">
        <v>45875</v>
      </c>
      <c r="D126" s="142" t="s">
        <v>935</v>
      </c>
      <c r="E126" s="142" t="s">
        <v>542</v>
      </c>
      <c r="F126" s="142" t="s">
        <v>229</v>
      </c>
      <c r="G126" s="149" t="s">
        <v>940</v>
      </c>
      <c r="H126" s="209" t="s">
        <v>173</v>
      </c>
      <c r="I126" s="146" t="s">
        <v>944</v>
      </c>
    </row>
    <row r="127" spans="1:9" ht="15.75" x14ac:dyDescent="0.25">
      <c r="A127" s="144">
        <f t="shared" si="0"/>
        <v>122</v>
      </c>
      <c r="B127" s="23" t="s">
        <v>1440</v>
      </c>
      <c r="C127" s="263"/>
      <c r="D127" s="142" t="s">
        <v>935</v>
      </c>
      <c r="E127" s="142" t="s">
        <v>229</v>
      </c>
      <c r="F127" s="142" t="s">
        <v>229</v>
      </c>
      <c r="G127" s="149" t="s">
        <v>936</v>
      </c>
      <c r="H127" s="209" t="s">
        <v>173</v>
      </c>
      <c r="I127" s="146" t="s">
        <v>1443</v>
      </c>
    </row>
    <row r="128" spans="1:9" ht="15.75" x14ac:dyDescent="0.25">
      <c r="A128" s="144">
        <f t="shared" si="0"/>
        <v>123</v>
      </c>
      <c r="B128" s="23" t="s">
        <v>1383</v>
      </c>
      <c r="C128" s="263"/>
      <c r="D128" s="142" t="s">
        <v>935</v>
      </c>
      <c r="E128" s="142" t="s">
        <v>229</v>
      </c>
      <c r="F128" s="142" t="s">
        <v>229</v>
      </c>
      <c r="G128" s="149" t="s">
        <v>1406</v>
      </c>
      <c r="H128" s="209" t="s">
        <v>173</v>
      </c>
      <c r="I128" s="146"/>
    </row>
    <row r="129" spans="1:9" ht="15.75" customHeight="1" x14ac:dyDescent="0.25">
      <c r="A129" s="144">
        <f t="shared" si="0"/>
        <v>124</v>
      </c>
      <c r="B129" s="23" t="s">
        <v>1385</v>
      </c>
      <c r="C129" s="263"/>
      <c r="D129" s="142" t="s">
        <v>935</v>
      </c>
      <c r="E129" s="142" t="s">
        <v>229</v>
      </c>
      <c r="F129" s="142" t="s">
        <v>229</v>
      </c>
      <c r="G129" s="149" t="s">
        <v>1406</v>
      </c>
      <c r="H129" s="209" t="s">
        <v>173</v>
      </c>
      <c r="I129" s="146"/>
    </row>
    <row r="130" spans="1:9" ht="18" customHeight="1" x14ac:dyDescent="0.25">
      <c r="A130" s="144">
        <f t="shared" si="0"/>
        <v>125</v>
      </c>
      <c r="B130" s="23" t="s">
        <v>1387</v>
      </c>
      <c r="C130" s="263"/>
      <c r="D130" s="142" t="s">
        <v>1014</v>
      </c>
      <c r="E130" s="142" t="s">
        <v>229</v>
      </c>
      <c r="F130" s="142" t="s">
        <v>229</v>
      </c>
      <c r="G130" s="149" t="s">
        <v>936</v>
      </c>
      <c r="H130" s="209" t="s">
        <v>173</v>
      </c>
      <c r="I130" s="146" t="s">
        <v>1441</v>
      </c>
    </row>
    <row r="131" spans="1:9" ht="16.5" customHeight="1" x14ac:dyDescent="0.25">
      <c r="A131" s="144">
        <f t="shared" si="0"/>
        <v>126</v>
      </c>
      <c r="B131" s="23" t="s">
        <v>1080</v>
      </c>
      <c r="C131" s="259"/>
      <c r="D131" s="142" t="s">
        <v>1014</v>
      </c>
      <c r="E131" s="142" t="s">
        <v>542</v>
      </c>
      <c r="F131" s="142" t="s">
        <v>229</v>
      </c>
      <c r="G131" s="149" t="s">
        <v>936</v>
      </c>
      <c r="H131" s="209" t="s">
        <v>173</v>
      </c>
      <c r="I131" s="146" t="s">
        <v>1441</v>
      </c>
    </row>
    <row r="132" spans="1:9" ht="15.75" x14ac:dyDescent="0.25">
      <c r="A132" s="144">
        <f t="shared" si="0"/>
        <v>127</v>
      </c>
      <c r="B132" s="23" t="s">
        <v>1081</v>
      </c>
      <c r="C132" s="263"/>
      <c r="D132" s="142" t="s">
        <v>1082</v>
      </c>
      <c r="E132" s="142" t="s">
        <v>542</v>
      </c>
      <c r="F132" s="142" t="s">
        <v>229</v>
      </c>
      <c r="G132" s="149" t="s">
        <v>1075</v>
      </c>
      <c r="H132" s="209" t="s">
        <v>173</v>
      </c>
      <c r="I132" s="146"/>
    </row>
    <row r="133" spans="1:9" ht="15.75" x14ac:dyDescent="0.25">
      <c r="A133" s="144">
        <f t="shared" si="0"/>
        <v>128</v>
      </c>
      <c r="B133" s="23" t="s">
        <v>1389</v>
      </c>
      <c r="C133" s="263"/>
      <c r="D133" s="142" t="s">
        <v>1082</v>
      </c>
      <c r="E133" s="142" t="s">
        <v>542</v>
      </c>
      <c r="F133" s="142" t="s">
        <v>542</v>
      </c>
      <c r="G133" s="149" t="s">
        <v>1075</v>
      </c>
      <c r="H133" s="209" t="s">
        <v>173</v>
      </c>
      <c r="I133" s="146"/>
    </row>
    <row r="134" spans="1:9" ht="15.75" x14ac:dyDescent="0.25">
      <c r="A134" s="144">
        <f t="shared" si="0"/>
        <v>129</v>
      </c>
      <c r="B134" s="23"/>
      <c r="C134" s="263"/>
      <c r="D134" s="142"/>
      <c r="E134" s="142"/>
      <c r="F134" s="142"/>
      <c r="G134" s="149" t="s">
        <v>1075</v>
      </c>
      <c r="H134" s="209"/>
      <c r="I134" s="146"/>
    </row>
    <row r="135" spans="1:9" ht="15.75" x14ac:dyDescent="0.25">
      <c r="A135" s="144"/>
      <c r="B135" s="23"/>
      <c r="C135" s="263"/>
      <c r="D135" s="142"/>
      <c r="E135" s="142"/>
      <c r="F135" s="142"/>
      <c r="G135" s="149" t="s">
        <v>1075</v>
      </c>
      <c r="H135" s="209"/>
      <c r="I135" s="146"/>
    </row>
    <row r="136" spans="1:9" ht="15.75" x14ac:dyDescent="0.25">
      <c r="A136" s="144"/>
      <c r="B136" s="23"/>
      <c r="C136" s="263"/>
      <c r="D136" s="142"/>
      <c r="E136" s="142"/>
      <c r="F136" s="142"/>
      <c r="G136" s="149" t="s">
        <v>1075</v>
      </c>
      <c r="H136" s="209"/>
      <c r="I136" s="146"/>
    </row>
  </sheetData>
  <mergeCells count="3">
    <mergeCell ref="A1:C3"/>
    <mergeCell ref="A4:H4"/>
    <mergeCell ref="D1:I3"/>
  </mergeCells>
  <phoneticPr fontId="21" type="noConversion"/>
  <conditionalFormatting sqref="G6:G136">
    <cfRule type="cellIs" dxfId="153" priority="1" operator="equal">
      <formula>"En conflicto"</formula>
    </cfRule>
    <cfRule type="cellIs" dxfId="152" priority="2" operator="equal">
      <formula>"Pendiente"</formula>
    </cfRule>
    <cfRule type="cellIs" dxfId="151" priority="3" operator="equal">
      <formula>"Realizado"</formula>
    </cfRule>
    <cfRule type="containsText" dxfId="150" priority="72" operator="containsText" text="En proceso">
      <formula>NOT(ISERROR(SEARCH("En proceso",G6)))</formula>
    </cfRule>
  </conditionalFormatting>
  <conditionalFormatting sqref="G52:G53">
    <cfRule type="containsText" dxfId="149" priority="74" operator="containsText" text="En Conflicto">
      <formula>NOT(ISERROR(SEARCH("En Conflicto",G52)))</formula>
    </cfRule>
    <cfRule type="containsText" dxfId="148" priority="75" operator="containsText" text="Realizado">
      <formula>NOT(ISERROR(SEARCH("Realizado",G52)))</formula>
    </cfRule>
    <cfRule type="containsText" dxfId="147" priority="76" operator="containsText" text="Pendiente">
      <formula>NOT(ISERROR(SEARCH("Pendiente",G52)))</formula>
    </cfRule>
    <cfRule type="cellIs" dxfId="146" priority="77" operator="equal">
      <formula>"Pendiente"</formula>
    </cfRule>
    <cfRule type="expression" dxfId="145" priority="78">
      <formula>A46="Pendiente"</formula>
    </cfRule>
  </conditionalFormatting>
  <conditionalFormatting sqref="G57">
    <cfRule type="colorScale" priority="73">
      <colorScale>
        <cfvo type="min"/>
        <cfvo type="percentile" val="50"/>
        <cfvo type="max"/>
        <color rgb="FFF8696B"/>
        <color rgb="FFFFEB84"/>
        <color rgb="FF63BE7B"/>
      </colorScale>
    </cfRule>
  </conditionalFormatting>
  <conditionalFormatting sqref="G64:G66">
    <cfRule type="colorScale" priority="71">
      <colorScale>
        <cfvo type="min"/>
        <cfvo type="percentile" val="50"/>
        <cfvo type="max"/>
        <color rgb="FFF8696B"/>
        <color rgb="FFFFEB84"/>
        <color rgb="FF63BE7B"/>
      </colorScale>
    </cfRule>
  </conditionalFormatting>
  <conditionalFormatting sqref="G67:G68">
    <cfRule type="colorScale" priority="70">
      <colorScale>
        <cfvo type="min"/>
        <cfvo type="percentile" val="50"/>
        <cfvo type="max"/>
        <color rgb="FFF8696B"/>
        <color rgb="FFFFEB84"/>
        <color rgb="FF63BE7B"/>
      </colorScale>
    </cfRule>
  </conditionalFormatting>
  <conditionalFormatting sqref="G70:G74">
    <cfRule type="colorScale" priority="54">
      <colorScale>
        <cfvo type="min"/>
        <cfvo type="percentile" val="50"/>
        <cfvo type="max"/>
        <color rgb="FFF8696B"/>
        <color rgb="FFFFEB84"/>
        <color rgb="FF63BE7B"/>
      </colorScale>
    </cfRule>
    <cfRule type="containsText" dxfId="144" priority="55" operator="containsText" text="En Conflicto">
      <formula>NOT(ISERROR(SEARCH("En Conflicto",G70)))</formula>
    </cfRule>
    <cfRule type="containsText" dxfId="143" priority="56" operator="containsText" text="Realizado">
      <formula>NOT(ISERROR(SEARCH("Realizado",G70)))</formula>
    </cfRule>
    <cfRule type="containsText" dxfId="142" priority="57" operator="containsText" text="Pendiente">
      <formula>NOT(ISERROR(SEARCH("Pendiente",G70)))</formula>
    </cfRule>
    <cfRule type="cellIs" dxfId="141" priority="58" operator="equal">
      <formula>"Pendiente"</formula>
    </cfRule>
    <cfRule type="expression" dxfId="140" priority="59">
      <formula>A65="Pendiente"</formula>
    </cfRule>
  </conditionalFormatting>
  <conditionalFormatting sqref="G70:G75">
    <cfRule type="containsText" dxfId="139" priority="60" operator="containsText" text="En Conflicto">
      <formula>NOT(ISERROR(SEARCH("En Conflicto",G70)))</formula>
    </cfRule>
    <cfRule type="containsText" dxfId="138" priority="61" operator="containsText" text="Realizado">
      <formula>NOT(ISERROR(SEARCH("Realizado",G70)))</formula>
    </cfRule>
    <cfRule type="containsText" dxfId="137" priority="62" operator="containsText" text="Pendiente">
      <formula>NOT(ISERROR(SEARCH("Pendiente",G70)))</formula>
    </cfRule>
    <cfRule type="cellIs" dxfId="136" priority="63" operator="equal">
      <formula>"Pendiente"</formula>
    </cfRule>
    <cfRule type="expression" dxfId="135" priority="64">
      <formula>A65="Pendiente"</formula>
    </cfRule>
  </conditionalFormatting>
  <conditionalFormatting sqref="G75">
    <cfRule type="colorScale" priority="48">
      <colorScale>
        <cfvo type="min"/>
        <cfvo type="percentile" val="50"/>
        <cfvo type="max"/>
        <color rgb="FFF8696B"/>
        <color rgb="FFFFEB84"/>
        <color rgb="FF63BE7B"/>
      </colorScale>
    </cfRule>
    <cfRule type="containsText" dxfId="134" priority="49" operator="containsText" text="En Conflicto">
      <formula>NOT(ISERROR(SEARCH("En Conflicto",G75)))</formula>
    </cfRule>
    <cfRule type="containsText" dxfId="133" priority="50" operator="containsText" text="Realizado">
      <formula>NOT(ISERROR(SEARCH("Realizado",G75)))</formula>
    </cfRule>
    <cfRule type="containsText" dxfId="132" priority="51" operator="containsText" text="Pendiente">
      <formula>NOT(ISERROR(SEARCH("Pendiente",G75)))</formula>
    </cfRule>
    <cfRule type="cellIs" dxfId="131" priority="52" operator="equal">
      <formula>"Pendiente"</formula>
    </cfRule>
    <cfRule type="expression" dxfId="130" priority="53">
      <formula>A70="Pendiente"</formula>
    </cfRule>
  </conditionalFormatting>
  <conditionalFormatting sqref="G77:G78">
    <cfRule type="colorScale" priority="26">
      <colorScale>
        <cfvo type="min"/>
        <cfvo type="percentile" val="50"/>
        <cfvo type="max"/>
        <color rgb="FFF8696B"/>
        <color rgb="FFFFEB84"/>
        <color rgb="FF63BE7B"/>
      </colorScale>
    </cfRule>
    <cfRule type="containsText" dxfId="129" priority="27" operator="containsText" text="En Conflicto">
      <formula>NOT(ISERROR(SEARCH("En Conflicto",G77)))</formula>
    </cfRule>
    <cfRule type="containsText" dxfId="128" priority="29" operator="containsText" text="Pendiente">
      <formula>NOT(ISERROR(SEARCH("Pendiente",G77)))</formula>
    </cfRule>
    <cfRule type="cellIs" dxfId="127" priority="30" operator="equal">
      <formula>"Pendiente"</formula>
    </cfRule>
    <cfRule type="expression" dxfId="126" priority="31">
      <formula>A72="Pendiente"</formula>
    </cfRule>
    <cfRule type="containsText" dxfId="125" priority="32" operator="containsText" text="En Conflicto">
      <formula>NOT(ISERROR(SEARCH("En Conflicto",G77)))</formula>
    </cfRule>
    <cfRule type="containsText" dxfId="124" priority="33" operator="containsText" text="Realizado">
      <formula>NOT(ISERROR(SEARCH("Realizado",G77)))</formula>
    </cfRule>
    <cfRule type="containsText" dxfId="123" priority="34" operator="containsText" text="Pendiente">
      <formula>NOT(ISERROR(SEARCH("Pendiente",G77)))</formula>
    </cfRule>
    <cfRule type="cellIs" dxfId="122" priority="35" operator="equal">
      <formula>"Pendiente"</formula>
    </cfRule>
    <cfRule type="expression" dxfId="121" priority="36">
      <formula>A72="Pendiente"</formula>
    </cfRule>
    <cfRule type="colorScale" priority="37">
      <colorScale>
        <cfvo type="min"/>
        <cfvo type="percentile" val="50"/>
        <cfvo type="max"/>
        <color rgb="FFF8696B"/>
        <color rgb="FFFFEB84"/>
        <color rgb="FF63BE7B"/>
      </colorScale>
    </cfRule>
    <cfRule type="containsText" dxfId="120" priority="38" operator="containsText" text="En Conflicto">
      <formula>NOT(ISERROR(SEARCH("En Conflicto",G77)))</formula>
    </cfRule>
    <cfRule type="containsText" dxfId="119" priority="39" operator="containsText" text="Realizado">
      <formula>NOT(ISERROR(SEARCH("Realizado",G77)))</formula>
    </cfRule>
    <cfRule type="containsText" dxfId="118" priority="40" operator="containsText" text="Pendiente">
      <formula>NOT(ISERROR(SEARCH("Pendiente",G77)))</formula>
    </cfRule>
    <cfRule type="cellIs" dxfId="117" priority="41" operator="equal">
      <formula>"Pendiente"</formula>
    </cfRule>
    <cfRule type="expression" dxfId="116" priority="42">
      <formula>A72="Pendiente"</formula>
    </cfRule>
    <cfRule type="containsText" dxfId="115" priority="43" operator="containsText" text="En Conflicto">
      <formula>NOT(ISERROR(SEARCH("En Conflicto",G77)))</formula>
    </cfRule>
    <cfRule type="containsText" dxfId="114" priority="44" operator="containsText" text="Realizado">
      <formula>NOT(ISERROR(SEARCH("Realizado",G77)))</formula>
    </cfRule>
    <cfRule type="containsText" dxfId="113" priority="45" operator="containsText" text="Pendiente">
      <formula>NOT(ISERROR(SEARCH("Pendiente",G77)))</formula>
    </cfRule>
    <cfRule type="cellIs" dxfId="112" priority="46" operator="equal">
      <formula>"Pendiente"</formula>
    </cfRule>
    <cfRule type="expression" dxfId="111" priority="47">
      <formula>A72="Pendiente"</formula>
    </cfRule>
  </conditionalFormatting>
  <conditionalFormatting sqref="G79:G80">
    <cfRule type="colorScale" priority="15">
      <colorScale>
        <cfvo type="min"/>
        <cfvo type="percentile" val="50"/>
        <cfvo type="max"/>
        <color rgb="FFF8696B"/>
        <color rgb="FFFFEB84"/>
        <color rgb="FF63BE7B"/>
      </colorScale>
    </cfRule>
    <cfRule type="containsText" dxfId="110" priority="16" operator="containsText" text="En Conflicto">
      <formula>NOT(ISERROR(SEARCH("En Conflicto",G79)))</formula>
    </cfRule>
    <cfRule type="containsText" dxfId="109" priority="17" operator="containsText" text="Realizado">
      <formula>NOT(ISERROR(SEARCH("Realizado",G79)))</formula>
    </cfRule>
    <cfRule type="containsText" dxfId="108" priority="18" operator="containsText" text="Pendiente">
      <formula>NOT(ISERROR(SEARCH("Pendiente",G79)))</formula>
    </cfRule>
    <cfRule type="cellIs" dxfId="107" priority="19" operator="equal">
      <formula>"Pendiente"</formula>
    </cfRule>
    <cfRule type="expression" dxfId="106" priority="20">
      <formula>A74="Pendiente"</formula>
    </cfRule>
    <cfRule type="containsText" dxfId="105" priority="21" operator="containsText" text="En Conflicto">
      <formula>NOT(ISERROR(SEARCH("En Conflicto",G79)))</formula>
    </cfRule>
    <cfRule type="containsText" dxfId="104" priority="23" operator="containsText" text="Pendiente">
      <formula>NOT(ISERROR(SEARCH("Pendiente",G79)))</formula>
    </cfRule>
    <cfRule type="cellIs" dxfId="103" priority="24" operator="equal">
      <formula>"Pendiente"</formula>
    </cfRule>
    <cfRule type="expression" dxfId="102" priority="25">
      <formula>A74="Pendiente"</formula>
    </cfRule>
  </conditionalFormatting>
  <conditionalFormatting sqref="G79:G82">
    <cfRule type="containsText" dxfId="101" priority="22" operator="containsText" text="Realizado">
      <formula>NOT(ISERROR(SEARCH("Realizado",G79)))</formula>
    </cfRule>
  </conditionalFormatting>
  <conditionalFormatting sqref="G83">
    <cfRule type="colorScale" priority="4">
      <colorScale>
        <cfvo type="min"/>
        <cfvo type="percentile" val="50"/>
        <cfvo type="max"/>
        <color rgb="FFF8696B"/>
        <color rgb="FFFFEB84"/>
        <color rgb="FF63BE7B"/>
      </colorScale>
    </cfRule>
    <cfRule type="containsText" dxfId="100" priority="5" operator="containsText" text="En Conflicto">
      <formula>NOT(ISERROR(SEARCH("En Conflicto",G83)))</formula>
    </cfRule>
    <cfRule type="containsText" dxfId="99" priority="6" operator="containsText" text="Realizado">
      <formula>NOT(ISERROR(SEARCH("Realizado",G83)))</formula>
    </cfRule>
    <cfRule type="containsText" dxfId="98" priority="7" operator="containsText" text="Pendiente">
      <formula>NOT(ISERROR(SEARCH("Pendiente",G83)))</formula>
    </cfRule>
    <cfRule type="cellIs" dxfId="97" priority="8" operator="equal">
      <formula>"Pendiente"</formula>
    </cfRule>
    <cfRule type="expression" dxfId="96" priority="9">
      <formula>A78="Pendiente"</formula>
    </cfRule>
    <cfRule type="containsText" dxfId="95" priority="10" operator="containsText" text="En Conflicto">
      <formula>NOT(ISERROR(SEARCH("En Conflicto",G83)))</formula>
    </cfRule>
    <cfRule type="containsText" dxfId="94" priority="11" operator="containsText" text="Realizado">
      <formula>NOT(ISERROR(SEARCH("Realizado",G83)))</formula>
    </cfRule>
    <cfRule type="containsText" dxfId="93" priority="12" operator="containsText" text="Pendiente">
      <formula>NOT(ISERROR(SEARCH("Pendiente",G83)))</formula>
    </cfRule>
    <cfRule type="cellIs" dxfId="92" priority="13" operator="equal">
      <formula>"Pendiente"</formula>
    </cfRule>
    <cfRule type="expression" dxfId="91" priority="14">
      <formula>A78="Pendiente"</formula>
    </cfRule>
  </conditionalFormatting>
  <conditionalFormatting sqref="G6:H23">
    <cfRule type="colorScale" priority="96">
      <colorScale>
        <cfvo type="min"/>
        <cfvo type="percentile" val="50"/>
        <cfvo type="max"/>
        <color rgb="FFF8696B"/>
        <color rgb="FFFFEB84"/>
        <color rgb="FF63BE7B"/>
      </colorScale>
    </cfRule>
  </conditionalFormatting>
  <conditionalFormatting sqref="G6:H51 G54:H71 H52:H53">
    <cfRule type="containsText" dxfId="90" priority="87" operator="containsText" text="En Conflicto">
      <formula>NOT(ISERROR(SEARCH("En Conflicto",G6)))</formula>
    </cfRule>
  </conditionalFormatting>
  <conditionalFormatting sqref="G6:H51 H52 G55:H71">
    <cfRule type="expression" dxfId="89" priority="95">
      <formula>A1="Pendiente"</formula>
    </cfRule>
  </conditionalFormatting>
  <conditionalFormatting sqref="G6:H51 H52:H53 G54:H71">
    <cfRule type="containsText" dxfId="88" priority="88" operator="containsText" text="Realizado">
      <formula>NOT(ISERROR(SEARCH("Realizado",G6)))</formula>
    </cfRule>
    <cfRule type="containsText" dxfId="87" priority="89" operator="containsText" text="Pendiente">
      <formula>NOT(ISERROR(SEARCH("Pendiente",G6)))</formula>
    </cfRule>
    <cfRule type="cellIs" dxfId="86" priority="91" operator="equal">
      <formula>"Pendiente"</formula>
    </cfRule>
  </conditionalFormatting>
  <conditionalFormatting sqref="G11:H11">
    <cfRule type="colorScale" priority="85">
      <colorScale>
        <cfvo type="min"/>
        <cfvo type="percentile" val="50"/>
        <cfvo type="max"/>
        <color rgb="FFF8696B"/>
        <color rgb="FFFFEB84"/>
        <color rgb="FF63BE7B"/>
      </colorScale>
    </cfRule>
  </conditionalFormatting>
  <conditionalFormatting sqref="G29:H30">
    <cfRule type="colorScale" priority="86">
      <colorScale>
        <cfvo type="min"/>
        <cfvo type="percentile" val="50"/>
        <cfvo type="max"/>
        <color rgb="FFF8696B"/>
        <color rgb="FFFFEB84"/>
        <color rgb="FF63BE7B"/>
      </colorScale>
    </cfRule>
  </conditionalFormatting>
  <conditionalFormatting sqref="G42:H42">
    <cfRule type="colorScale" priority="84">
      <colorScale>
        <cfvo type="min"/>
        <cfvo type="percentile" val="50"/>
        <cfvo type="max"/>
        <color rgb="FFF8696B"/>
        <color rgb="FFFFEB84"/>
        <color rgb="FF63BE7B"/>
      </colorScale>
    </cfRule>
  </conditionalFormatting>
  <conditionalFormatting sqref="H53 G54:H54 G55:G56">
    <cfRule type="expression" dxfId="85" priority="107">
      <formula>A47="Pendiente"</formula>
    </cfRule>
  </conditionalFormatting>
  <pageMargins left="0.7" right="0.7" top="0.75" bottom="0.75" header="0.3" footer="0.3"/>
  <pageSetup orientation="portrait" r:id="rId1"/>
  <tableParts count="1">
    <tablePart r:id="rId2"/>
  </tableParts>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B96C5284-BBFF-4477-A1A3-75705992473C}">
          <x14:formula1>
            <xm:f>'Info Evolti'!$C$4:$C$9</xm:f>
          </x14:formula1>
          <xm:sqref>H93 H90:H91 H85:H88 H6:H83 H96:H105</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1890A9-4321-422B-A729-48B8513A78EC}">
  <sheetPr codeName="Hoja12">
    <tabColor rgb="FFFFC000"/>
    <pageSetUpPr fitToPage="1"/>
  </sheetPr>
  <dimension ref="A1:U71"/>
  <sheetViews>
    <sheetView zoomScale="85" zoomScaleNormal="85" workbookViewId="0">
      <pane xSplit="2" ySplit="5" topLeftCell="C6" activePane="bottomRight" state="frozen"/>
      <selection pane="topRight" activeCell="C1" sqref="C1"/>
      <selection pane="bottomLeft" activeCell="A6" sqref="A6"/>
      <selection pane="bottomRight" activeCell="E11" sqref="E11"/>
    </sheetView>
  </sheetViews>
  <sheetFormatPr baseColWidth="10" defaultColWidth="11.42578125" defaultRowHeight="21" x14ac:dyDescent="0.25"/>
  <cols>
    <col min="1" max="1" width="7.5703125" style="182" customWidth="1"/>
    <col min="2" max="2" width="21" style="108" customWidth="1"/>
    <col min="3" max="3" width="21.140625" style="3" customWidth="1"/>
    <col min="4" max="4" width="15.85546875" style="3" customWidth="1"/>
    <col min="5" max="6" width="25.28515625" style="3" customWidth="1"/>
    <col min="7" max="7" width="49.140625" style="3" customWidth="1"/>
    <col min="8" max="8" width="21.140625" style="3" customWidth="1"/>
    <col min="9" max="9" width="26.85546875" style="3" customWidth="1"/>
    <col min="10" max="10" width="41.7109375" style="3" customWidth="1"/>
    <col min="11" max="11" width="21.140625" style="188" customWidth="1"/>
    <col min="12" max="12" width="21.140625" style="3" customWidth="1"/>
    <col min="13" max="13" width="26.85546875" style="188" customWidth="1"/>
    <col min="14" max="14" width="26.85546875" style="190" customWidth="1"/>
    <col min="15" max="16" width="11.42578125" style="108"/>
    <col min="17" max="17" width="10.85546875" style="108" bestFit="1" customWidth="1"/>
    <col min="18" max="19" width="11.42578125" style="108"/>
    <col min="20" max="20" width="20.5703125" style="108" customWidth="1"/>
    <col min="21" max="21" width="20.140625" style="108" customWidth="1"/>
    <col min="22" max="16384" width="11.42578125" style="108"/>
  </cols>
  <sheetData>
    <row r="1" spans="1:17" s="112" customFormat="1" ht="26.25" customHeight="1" x14ac:dyDescent="0.25">
      <c r="A1" s="272" t="e" vm="1">
        <v>#VALUE!</v>
      </c>
      <c r="B1" s="272"/>
      <c r="C1" s="272"/>
      <c r="D1" s="273" t="s">
        <v>1083</v>
      </c>
      <c r="E1" s="274"/>
      <c r="F1" s="274"/>
      <c r="G1" s="274"/>
      <c r="H1" s="274"/>
      <c r="I1" s="274"/>
      <c r="J1" s="274"/>
      <c r="K1" s="274"/>
      <c r="L1" s="274"/>
      <c r="M1" s="274"/>
      <c r="N1" s="275"/>
    </row>
    <row r="2" spans="1:17" s="112" customFormat="1" ht="26.25" customHeight="1" x14ac:dyDescent="0.25">
      <c r="A2" s="272"/>
      <c r="B2" s="272"/>
      <c r="C2" s="272"/>
      <c r="D2" s="276"/>
      <c r="E2" s="277"/>
      <c r="F2" s="277"/>
      <c r="G2" s="277"/>
      <c r="H2" s="277"/>
      <c r="I2" s="277"/>
      <c r="J2" s="277"/>
      <c r="K2" s="277"/>
      <c r="L2" s="277"/>
      <c r="M2" s="277"/>
      <c r="N2" s="278"/>
    </row>
    <row r="3" spans="1:17" s="112" customFormat="1" ht="26.25" customHeight="1" x14ac:dyDescent="0.25">
      <c r="A3" s="272"/>
      <c r="B3" s="272"/>
      <c r="C3" s="272"/>
      <c r="D3" s="279"/>
      <c r="E3" s="280"/>
      <c r="F3" s="280"/>
      <c r="G3" s="280"/>
      <c r="H3" s="280"/>
      <c r="I3" s="280"/>
      <c r="J3" s="280"/>
      <c r="K3" s="280"/>
      <c r="L3" s="280"/>
      <c r="M3" s="280"/>
      <c r="N3" s="281"/>
    </row>
    <row r="4" spans="1:17" s="112" customFormat="1" ht="5.0999999999999996" customHeight="1" x14ac:dyDescent="0.25">
      <c r="A4" s="282"/>
      <c r="B4" s="282"/>
      <c r="C4" s="282"/>
      <c r="D4" s="282"/>
      <c r="E4" s="282"/>
      <c r="F4" s="282"/>
      <c r="G4" s="282"/>
      <c r="H4" s="282"/>
      <c r="I4" s="282"/>
      <c r="J4" s="282"/>
      <c r="K4" s="282"/>
      <c r="L4" s="282"/>
      <c r="M4" s="282"/>
      <c r="N4" s="282"/>
    </row>
    <row r="5" spans="1:17" s="184" customFormat="1" ht="72" customHeight="1" x14ac:dyDescent="0.25">
      <c r="A5" s="183" t="s">
        <v>184</v>
      </c>
      <c r="B5" s="183" t="s">
        <v>1</v>
      </c>
      <c r="C5" s="183" t="s">
        <v>1084</v>
      </c>
      <c r="D5" s="183" t="s">
        <v>1085</v>
      </c>
      <c r="E5" s="183" t="s">
        <v>1086</v>
      </c>
      <c r="F5" s="183" t="s">
        <v>1087</v>
      </c>
      <c r="G5" s="183" t="s">
        <v>1088</v>
      </c>
      <c r="H5" s="183" t="s">
        <v>1089</v>
      </c>
      <c r="I5" s="183" t="s">
        <v>1090</v>
      </c>
      <c r="J5" s="183" t="s">
        <v>933</v>
      </c>
      <c r="K5" s="183" t="s">
        <v>1091</v>
      </c>
      <c r="L5" s="183" t="s">
        <v>1092</v>
      </c>
      <c r="M5" s="183" t="s">
        <v>1093</v>
      </c>
      <c r="N5" s="183" t="s">
        <v>1094</v>
      </c>
      <c r="Q5" s="185" t="s">
        <v>1095</v>
      </c>
    </row>
    <row r="6" spans="1:17" x14ac:dyDescent="0.25">
      <c r="A6" s="176" t="s">
        <v>1096</v>
      </c>
      <c r="B6" s="177" t="s">
        <v>1097</v>
      </c>
      <c r="C6" s="175">
        <v>45726</v>
      </c>
      <c r="D6" s="175" t="s">
        <v>151</v>
      </c>
      <c r="E6" s="178" t="s">
        <v>1098</v>
      </c>
      <c r="F6" s="178" t="s">
        <v>1098</v>
      </c>
      <c r="G6" s="175">
        <f t="shared" ref="G6:G37" si="0">IF(C6="","",WORKDAY(C6,19,$Q$6:$Q$104))</f>
        <v>45754</v>
      </c>
      <c r="H6" s="175">
        <v>45755</v>
      </c>
      <c r="I6" s="178" t="s">
        <v>1098</v>
      </c>
      <c r="J6" s="168" t="s">
        <v>1099</v>
      </c>
      <c r="K6" s="187">
        <f t="shared" ref="K6:K37" si="1">IF(H6="","",EDATE(H6,5))</f>
        <v>45908</v>
      </c>
      <c r="L6" s="175"/>
      <c r="M6" s="187">
        <f t="shared" ref="M6:M37" si="2">IF(H6="","",EDATE(H6,6))</f>
        <v>45938</v>
      </c>
      <c r="N6" s="189" t="str">
        <f t="shared" ref="N6:N37" si="3">IF(L6="si", DATE(YEAR(M6), MONTH(M6)+3, DAY(M6)), "")</f>
        <v/>
      </c>
      <c r="Q6" s="186">
        <v>45658</v>
      </c>
    </row>
    <row r="7" spans="1:17" x14ac:dyDescent="0.25">
      <c r="A7" s="176">
        <v>2</v>
      </c>
      <c r="B7" s="177" t="s">
        <v>1100</v>
      </c>
      <c r="C7" s="175">
        <v>45727</v>
      </c>
      <c r="D7" s="175" t="s">
        <v>151</v>
      </c>
      <c r="E7" s="178" t="s">
        <v>1098</v>
      </c>
      <c r="F7" s="178" t="s">
        <v>1098</v>
      </c>
      <c r="G7" s="175">
        <f t="shared" si="0"/>
        <v>45755</v>
      </c>
      <c r="H7" s="175">
        <v>45755</v>
      </c>
      <c r="I7" s="178" t="s">
        <v>1098</v>
      </c>
      <c r="J7" s="168" t="s">
        <v>1099</v>
      </c>
      <c r="K7" s="187">
        <f t="shared" si="1"/>
        <v>45908</v>
      </c>
      <c r="L7" s="175"/>
      <c r="M7" s="187">
        <f t="shared" si="2"/>
        <v>45938</v>
      </c>
      <c r="N7" s="189" t="str">
        <f t="shared" si="3"/>
        <v/>
      </c>
      <c r="Q7" s="186">
        <v>45663</v>
      </c>
    </row>
    <row r="8" spans="1:17" ht="31.5" x14ac:dyDescent="0.25">
      <c r="A8" s="176">
        <v>3</v>
      </c>
      <c r="B8" s="177" t="s">
        <v>1101</v>
      </c>
      <c r="C8" s="175">
        <v>45777</v>
      </c>
      <c r="D8" s="175" t="s">
        <v>153</v>
      </c>
      <c r="E8" s="178" t="s">
        <v>1098</v>
      </c>
      <c r="F8" s="178" t="s">
        <v>1098</v>
      </c>
      <c r="G8" s="175">
        <f t="shared" si="0"/>
        <v>45805</v>
      </c>
      <c r="H8" s="175">
        <v>45862</v>
      </c>
      <c r="I8" s="178" t="s">
        <v>1098</v>
      </c>
      <c r="J8" s="168" t="s">
        <v>1103</v>
      </c>
      <c r="K8" s="187">
        <f t="shared" si="1"/>
        <v>46015</v>
      </c>
      <c r="L8" s="175"/>
      <c r="M8" s="187">
        <f t="shared" si="2"/>
        <v>46046</v>
      </c>
      <c r="N8" s="189" t="str">
        <f t="shared" si="3"/>
        <v/>
      </c>
      <c r="Q8" s="186">
        <v>45740</v>
      </c>
    </row>
    <row r="9" spans="1:17" ht="31.5" x14ac:dyDescent="0.25">
      <c r="A9" s="176">
        <v>4</v>
      </c>
      <c r="B9" s="177" t="s">
        <v>1104</v>
      </c>
      <c r="C9" s="175">
        <v>45783</v>
      </c>
      <c r="D9" s="175" t="s">
        <v>153</v>
      </c>
      <c r="E9" s="178" t="s">
        <v>1102</v>
      </c>
      <c r="F9" s="178" t="s">
        <v>1102</v>
      </c>
      <c r="G9" s="175">
        <f t="shared" si="0"/>
        <v>45811</v>
      </c>
      <c r="H9" s="175"/>
      <c r="I9" s="178" t="s">
        <v>1102</v>
      </c>
      <c r="J9" s="168" t="s">
        <v>1103</v>
      </c>
      <c r="K9" s="187" t="str">
        <f t="shared" si="1"/>
        <v/>
      </c>
      <c r="L9" s="175"/>
      <c r="M9" s="187" t="str">
        <f t="shared" si="2"/>
        <v/>
      </c>
      <c r="N9" s="189" t="str">
        <f t="shared" si="3"/>
        <v/>
      </c>
      <c r="Q9" s="186">
        <v>45760</v>
      </c>
    </row>
    <row r="10" spans="1:17" x14ac:dyDescent="0.25">
      <c r="A10" s="176">
        <v>5</v>
      </c>
      <c r="B10" s="177" t="s">
        <v>1105</v>
      </c>
      <c r="C10" s="175">
        <v>45770</v>
      </c>
      <c r="D10" s="175" t="s">
        <v>151</v>
      </c>
      <c r="E10" s="178" t="s">
        <v>1098</v>
      </c>
      <c r="F10" s="178" t="s">
        <v>1098</v>
      </c>
      <c r="G10" s="175">
        <f t="shared" si="0"/>
        <v>45798</v>
      </c>
      <c r="H10" s="175">
        <v>45786</v>
      </c>
      <c r="I10" s="178" t="s">
        <v>1098</v>
      </c>
      <c r="J10" s="168" t="s">
        <v>944</v>
      </c>
      <c r="K10" s="187">
        <f t="shared" si="1"/>
        <v>45939</v>
      </c>
      <c r="L10" s="175"/>
      <c r="M10" s="187">
        <f t="shared" si="2"/>
        <v>45970</v>
      </c>
      <c r="N10" s="189" t="str">
        <f t="shared" si="3"/>
        <v/>
      </c>
      <c r="Q10" s="186">
        <v>45764</v>
      </c>
    </row>
    <row r="11" spans="1:17" x14ac:dyDescent="0.25">
      <c r="A11" s="176">
        <v>6</v>
      </c>
      <c r="B11" s="177" t="s">
        <v>1106</v>
      </c>
      <c r="C11" s="175">
        <v>45789</v>
      </c>
      <c r="D11" s="175" t="s">
        <v>151</v>
      </c>
      <c r="E11" s="178" t="s">
        <v>1098</v>
      </c>
      <c r="F11" s="178" t="s">
        <v>1098</v>
      </c>
      <c r="G11" s="175">
        <f t="shared" si="0"/>
        <v>45817</v>
      </c>
      <c r="H11" s="175">
        <v>45806</v>
      </c>
      <c r="I11" s="178" t="s">
        <v>1098</v>
      </c>
      <c r="J11" s="168"/>
      <c r="K11" s="187">
        <f t="shared" si="1"/>
        <v>45959</v>
      </c>
      <c r="L11" s="175"/>
      <c r="M11" s="187">
        <f t="shared" si="2"/>
        <v>45990</v>
      </c>
      <c r="N11" s="189" t="str">
        <f t="shared" si="3"/>
        <v/>
      </c>
      <c r="Q11" s="186">
        <v>45765</v>
      </c>
    </row>
    <row r="12" spans="1:17" x14ac:dyDescent="0.25">
      <c r="A12" s="176">
        <v>7</v>
      </c>
      <c r="B12" s="177" t="s">
        <v>1107</v>
      </c>
      <c r="C12" s="175">
        <v>45687</v>
      </c>
      <c r="D12" s="175" t="s">
        <v>153</v>
      </c>
      <c r="E12" s="178" t="s">
        <v>1102</v>
      </c>
      <c r="F12" s="178" t="s">
        <v>1102</v>
      </c>
      <c r="G12" s="175">
        <f t="shared" si="0"/>
        <v>45714</v>
      </c>
      <c r="H12" s="175"/>
      <c r="I12" s="178" t="s">
        <v>1102</v>
      </c>
      <c r="J12" s="168"/>
      <c r="K12" s="187" t="str">
        <f t="shared" si="1"/>
        <v/>
      </c>
      <c r="L12" s="175"/>
      <c r="M12" s="187" t="str">
        <f t="shared" si="2"/>
        <v/>
      </c>
      <c r="N12" s="189" t="str">
        <f t="shared" si="3"/>
        <v/>
      </c>
      <c r="Q12" s="186">
        <v>45778</v>
      </c>
    </row>
    <row r="13" spans="1:17" x14ac:dyDescent="0.25">
      <c r="A13" s="176">
        <v>8</v>
      </c>
      <c r="B13" s="177" t="s">
        <v>1108</v>
      </c>
      <c r="C13" s="175"/>
      <c r="D13" s="175" t="s">
        <v>153</v>
      </c>
      <c r="E13" s="178" t="s">
        <v>1098</v>
      </c>
      <c r="F13" s="178" t="s">
        <v>1098</v>
      </c>
      <c r="G13" s="175" t="str">
        <f t="shared" si="0"/>
        <v/>
      </c>
      <c r="H13" s="175">
        <v>45790</v>
      </c>
      <c r="I13" s="178" t="s">
        <v>1098</v>
      </c>
      <c r="J13" s="168"/>
      <c r="K13" s="187">
        <f t="shared" si="1"/>
        <v>45943</v>
      </c>
      <c r="L13" s="175"/>
      <c r="M13" s="187">
        <f t="shared" si="2"/>
        <v>45974</v>
      </c>
      <c r="N13" s="189" t="str">
        <f t="shared" si="3"/>
        <v/>
      </c>
      <c r="Q13" s="186">
        <v>45810</v>
      </c>
    </row>
    <row r="14" spans="1:17" x14ac:dyDescent="0.25">
      <c r="A14" s="176">
        <v>9</v>
      </c>
      <c r="B14" s="177" t="s">
        <v>1109</v>
      </c>
      <c r="C14" s="175">
        <v>45666</v>
      </c>
      <c r="D14" s="175" t="s">
        <v>153</v>
      </c>
      <c r="E14" s="178" t="s">
        <v>1098</v>
      </c>
      <c r="F14" s="178" t="s">
        <v>1098</v>
      </c>
      <c r="G14" s="175">
        <f t="shared" si="0"/>
        <v>45693</v>
      </c>
      <c r="H14" s="175">
        <v>45730</v>
      </c>
      <c r="I14" s="178" t="s">
        <v>1098</v>
      </c>
      <c r="J14" s="168"/>
      <c r="K14" s="187">
        <f t="shared" si="1"/>
        <v>45883</v>
      </c>
      <c r="L14" s="175" t="s">
        <v>542</v>
      </c>
      <c r="M14" s="187">
        <f t="shared" si="2"/>
        <v>45914</v>
      </c>
      <c r="N14" s="189">
        <f t="shared" si="3"/>
        <v>46005</v>
      </c>
      <c r="Q14" s="186">
        <v>45831</v>
      </c>
    </row>
    <row r="15" spans="1:17" x14ac:dyDescent="0.25">
      <c r="A15" s="176">
        <v>10</v>
      </c>
      <c r="B15" s="177" t="s">
        <v>1110</v>
      </c>
      <c r="C15" s="175">
        <v>45715</v>
      </c>
      <c r="D15" s="175" t="s">
        <v>153</v>
      </c>
      <c r="E15" s="178" t="s">
        <v>1102</v>
      </c>
      <c r="F15" s="178" t="s">
        <v>1102</v>
      </c>
      <c r="G15" s="175">
        <f t="shared" si="0"/>
        <v>45743</v>
      </c>
      <c r="H15" s="175"/>
      <c r="I15" s="178" t="s">
        <v>1102</v>
      </c>
      <c r="J15" s="168"/>
      <c r="K15" s="187" t="str">
        <f t="shared" si="1"/>
        <v/>
      </c>
      <c r="L15" s="175"/>
      <c r="M15" s="187" t="str">
        <f t="shared" si="2"/>
        <v/>
      </c>
      <c r="N15" s="189" t="str">
        <f t="shared" si="3"/>
        <v/>
      </c>
      <c r="Q15" s="186">
        <v>45838</v>
      </c>
    </row>
    <row r="16" spans="1:17" x14ac:dyDescent="0.25">
      <c r="A16" s="176">
        <v>11</v>
      </c>
      <c r="B16" s="177" t="s">
        <v>1111</v>
      </c>
      <c r="C16" s="175">
        <v>45707</v>
      </c>
      <c r="D16" s="175" t="s">
        <v>153</v>
      </c>
      <c r="E16" s="178" t="s">
        <v>1098</v>
      </c>
      <c r="F16" s="178" t="s">
        <v>1098</v>
      </c>
      <c r="G16" s="175">
        <f t="shared" si="0"/>
        <v>45734</v>
      </c>
      <c r="H16" s="175">
        <v>45792</v>
      </c>
      <c r="I16" s="178" t="s">
        <v>1098</v>
      </c>
      <c r="J16" s="168"/>
      <c r="K16" s="187">
        <f t="shared" si="1"/>
        <v>45945</v>
      </c>
      <c r="L16" s="175"/>
      <c r="M16" s="187">
        <f t="shared" si="2"/>
        <v>45976</v>
      </c>
      <c r="N16" s="189" t="str">
        <f t="shared" si="3"/>
        <v/>
      </c>
      <c r="Q16" s="186">
        <v>45858</v>
      </c>
    </row>
    <row r="17" spans="1:21" x14ac:dyDescent="0.25">
      <c r="A17" s="176">
        <v>12</v>
      </c>
      <c r="B17" s="177" t="s">
        <v>1112</v>
      </c>
      <c r="C17" s="175">
        <v>45811</v>
      </c>
      <c r="D17" s="175" t="s">
        <v>151</v>
      </c>
      <c r="E17" s="178" t="s">
        <v>1098</v>
      </c>
      <c r="F17" s="178" t="s">
        <v>1098</v>
      </c>
      <c r="G17" s="175">
        <f t="shared" si="0"/>
        <v>45840</v>
      </c>
      <c r="H17" s="175">
        <v>45832</v>
      </c>
      <c r="I17" s="178" t="s">
        <v>1098</v>
      </c>
      <c r="J17" s="168"/>
      <c r="K17" s="187">
        <f t="shared" si="1"/>
        <v>45985</v>
      </c>
      <c r="L17" s="175"/>
      <c r="M17" s="187">
        <f t="shared" si="2"/>
        <v>46015</v>
      </c>
      <c r="N17" s="189" t="str">
        <f t="shared" si="3"/>
        <v/>
      </c>
      <c r="Q17" s="186">
        <v>45876</v>
      </c>
    </row>
    <row r="18" spans="1:21" ht="31.5" x14ac:dyDescent="0.25">
      <c r="A18" s="176">
        <v>13</v>
      </c>
      <c r="B18" s="177" t="s">
        <v>1113</v>
      </c>
      <c r="C18" s="175">
        <v>45807</v>
      </c>
      <c r="D18" s="175" t="s">
        <v>156</v>
      </c>
      <c r="E18" s="178" t="s">
        <v>1102</v>
      </c>
      <c r="F18" s="178" t="s">
        <v>1102</v>
      </c>
      <c r="G18" s="175">
        <f t="shared" si="0"/>
        <v>45839</v>
      </c>
      <c r="H18" s="175"/>
      <c r="I18" s="178" t="s">
        <v>1102</v>
      </c>
      <c r="J18" s="168" t="s">
        <v>1114</v>
      </c>
      <c r="K18" s="187" t="str">
        <f t="shared" si="1"/>
        <v/>
      </c>
      <c r="L18" s="175"/>
      <c r="M18" s="187" t="str">
        <f t="shared" si="2"/>
        <v/>
      </c>
      <c r="N18" s="189" t="str">
        <f t="shared" si="3"/>
        <v/>
      </c>
      <c r="Q18" s="186">
        <v>45887</v>
      </c>
    </row>
    <row r="19" spans="1:21" ht="47.25" x14ac:dyDescent="0.25">
      <c r="A19" s="176">
        <v>14</v>
      </c>
      <c r="B19" s="177" t="s">
        <v>1115</v>
      </c>
      <c r="C19" s="175">
        <v>45811</v>
      </c>
      <c r="D19" s="175" t="s">
        <v>151</v>
      </c>
      <c r="E19" s="178" t="s">
        <v>1098</v>
      </c>
      <c r="F19" s="178" t="s">
        <v>1098</v>
      </c>
      <c r="G19" s="175">
        <f t="shared" si="0"/>
        <v>45840</v>
      </c>
      <c r="H19" s="175">
        <v>45832</v>
      </c>
      <c r="I19" s="178" t="s">
        <v>1098</v>
      </c>
      <c r="J19" s="168" t="s">
        <v>1116</v>
      </c>
      <c r="K19" s="187">
        <f t="shared" si="1"/>
        <v>45985</v>
      </c>
      <c r="L19" s="175"/>
      <c r="M19" s="187">
        <f t="shared" si="2"/>
        <v>46015</v>
      </c>
      <c r="N19" s="189" t="str">
        <f t="shared" si="3"/>
        <v/>
      </c>
      <c r="Q19" s="186">
        <v>45943</v>
      </c>
    </row>
    <row r="20" spans="1:21" x14ac:dyDescent="0.25">
      <c r="A20" s="176">
        <v>15</v>
      </c>
      <c r="B20" s="177" t="s">
        <v>1117</v>
      </c>
      <c r="C20" s="175">
        <v>45805</v>
      </c>
      <c r="D20" s="175" t="s">
        <v>151</v>
      </c>
      <c r="E20" s="178" t="s">
        <v>1098</v>
      </c>
      <c r="F20" s="178" t="s">
        <v>1098</v>
      </c>
      <c r="G20" s="175">
        <f t="shared" si="0"/>
        <v>45834</v>
      </c>
      <c r="H20" s="175">
        <v>45824</v>
      </c>
      <c r="I20" s="178" t="s">
        <v>1098</v>
      </c>
      <c r="J20" s="168"/>
      <c r="K20" s="187">
        <f t="shared" si="1"/>
        <v>45977</v>
      </c>
      <c r="L20" s="175"/>
      <c r="M20" s="187">
        <f t="shared" si="2"/>
        <v>46007</v>
      </c>
      <c r="N20" s="189" t="str">
        <f t="shared" si="3"/>
        <v/>
      </c>
      <c r="Q20" s="186">
        <v>45964</v>
      </c>
    </row>
    <row r="21" spans="1:21" x14ac:dyDescent="0.25">
      <c r="A21" s="176">
        <v>16</v>
      </c>
      <c r="B21" s="177" t="s">
        <v>1118</v>
      </c>
      <c r="C21" s="175">
        <v>45748</v>
      </c>
      <c r="D21" s="175" t="s">
        <v>151</v>
      </c>
      <c r="E21" s="178" t="s">
        <v>1098</v>
      </c>
      <c r="F21" s="178" t="s">
        <v>1098</v>
      </c>
      <c r="G21" s="175">
        <f t="shared" si="0"/>
        <v>45777</v>
      </c>
      <c r="H21" s="175">
        <v>45813</v>
      </c>
      <c r="I21" s="178" t="s">
        <v>1098</v>
      </c>
      <c r="J21" s="168"/>
      <c r="K21" s="187">
        <f t="shared" si="1"/>
        <v>45966</v>
      </c>
      <c r="L21" s="175"/>
      <c r="M21" s="187">
        <f t="shared" si="2"/>
        <v>45996</v>
      </c>
      <c r="N21" s="189" t="str">
        <f t="shared" si="3"/>
        <v/>
      </c>
      <c r="Q21" s="186">
        <v>45972</v>
      </c>
    </row>
    <row r="22" spans="1:21" x14ac:dyDescent="0.25">
      <c r="A22" s="176">
        <v>17</v>
      </c>
      <c r="B22" s="177" t="s">
        <v>1119</v>
      </c>
      <c r="C22" s="175">
        <v>45820</v>
      </c>
      <c r="D22" s="175" t="s">
        <v>151</v>
      </c>
      <c r="E22" s="178" t="s">
        <v>1098</v>
      </c>
      <c r="F22" s="178" t="s">
        <v>1098</v>
      </c>
      <c r="G22" s="175">
        <f t="shared" si="0"/>
        <v>45849</v>
      </c>
      <c r="H22" s="175">
        <v>45834</v>
      </c>
      <c r="I22" s="178" t="s">
        <v>1098</v>
      </c>
      <c r="J22" s="168"/>
      <c r="K22" s="187">
        <f t="shared" si="1"/>
        <v>45987</v>
      </c>
      <c r="L22" s="175"/>
      <c r="M22" s="187">
        <f t="shared" si="2"/>
        <v>46017</v>
      </c>
      <c r="N22" s="189" t="str">
        <f t="shared" si="3"/>
        <v/>
      </c>
      <c r="Q22" s="186">
        <v>45999</v>
      </c>
    </row>
    <row r="23" spans="1:21" x14ac:dyDescent="0.25">
      <c r="A23" s="176">
        <v>18</v>
      </c>
      <c r="B23" s="177" t="s">
        <v>1120</v>
      </c>
      <c r="C23" s="175">
        <v>45826</v>
      </c>
      <c r="D23" s="175" t="s">
        <v>151</v>
      </c>
      <c r="E23" s="178" t="s">
        <v>1102</v>
      </c>
      <c r="F23" s="178" t="s">
        <v>1098</v>
      </c>
      <c r="G23" s="175">
        <f t="shared" si="0"/>
        <v>45855</v>
      </c>
      <c r="H23" s="175">
        <v>45841</v>
      </c>
      <c r="I23" s="178" t="s">
        <v>1098</v>
      </c>
      <c r="J23" s="168"/>
      <c r="K23" s="187">
        <f t="shared" ref="K23" si="4">IF(H23="","",EDATE(H23,5))</f>
        <v>45994</v>
      </c>
      <c r="L23" s="175"/>
      <c r="M23" s="187">
        <f t="shared" ref="M23" si="5">IF(H23="","",EDATE(H23,6))</f>
        <v>46025</v>
      </c>
      <c r="N23" s="189" t="str">
        <f t="shared" ref="N23" si="6">IF(L23="si", DATE(YEAR(M23), MONTH(M23)+3, DAY(M23)), "")</f>
        <v/>
      </c>
      <c r="Q23" s="186">
        <v>46016</v>
      </c>
    </row>
    <row r="24" spans="1:21" x14ac:dyDescent="0.25">
      <c r="A24" s="176">
        <v>19</v>
      </c>
      <c r="B24" s="177" t="s">
        <v>1121</v>
      </c>
      <c r="C24" s="175">
        <v>45828</v>
      </c>
      <c r="D24" s="175" t="s">
        <v>151</v>
      </c>
      <c r="E24" s="178" t="s">
        <v>1098</v>
      </c>
      <c r="F24" s="178" t="s">
        <v>1098</v>
      </c>
      <c r="G24" s="175">
        <f t="shared" si="0"/>
        <v>45859</v>
      </c>
      <c r="H24" s="175">
        <v>45852</v>
      </c>
      <c r="I24" s="178" t="s">
        <v>1098</v>
      </c>
      <c r="J24" s="168"/>
      <c r="K24" s="187">
        <f t="shared" si="1"/>
        <v>46005</v>
      </c>
      <c r="L24" s="175"/>
      <c r="M24" s="187">
        <f t="shared" si="2"/>
        <v>46036</v>
      </c>
      <c r="N24" s="189" t="str">
        <f t="shared" si="3"/>
        <v/>
      </c>
    </row>
    <row r="25" spans="1:21" ht="30" x14ac:dyDescent="0.25">
      <c r="A25" s="176">
        <v>20</v>
      </c>
      <c r="B25" s="177" t="s">
        <v>1360</v>
      </c>
      <c r="C25" s="175">
        <v>45843</v>
      </c>
      <c r="D25" s="175" t="s">
        <v>151</v>
      </c>
      <c r="E25" s="178" t="s">
        <v>1098</v>
      </c>
      <c r="F25" s="178" t="s">
        <v>1102</v>
      </c>
      <c r="G25" s="175">
        <f t="shared" si="0"/>
        <v>45869</v>
      </c>
      <c r="H25" s="175"/>
      <c r="I25" s="178" t="s">
        <v>1102</v>
      </c>
      <c r="J25" s="168"/>
      <c r="K25" s="187" t="str">
        <f t="shared" si="1"/>
        <v/>
      </c>
      <c r="L25" s="175"/>
      <c r="M25" s="187" t="str">
        <f t="shared" si="2"/>
        <v/>
      </c>
      <c r="N25" s="189" t="str">
        <f t="shared" si="3"/>
        <v/>
      </c>
      <c r="S25" s="257"/>
      <c r="T25" s="257" t="s">
        <v>1365</v>
      </c>
      <c r="U25" s="257" t="s">
        <v>1366</v>
      </c>
    </row>
    <row r="26" spans="1:21" x14ac:dyDescent="0.25">
      <c r="A26" s="176">
        <v>21</v>
      </c>
      <c r="B26" s="177" t="s">
        <v>1361</v>
      </c>
      <c r="C26" s="175">
        <v>45855</v>
      </c>
      <c r="D26" s="175" t="s">
        <v>159</v>
      </c>
      <c r="E26" s="178" t="s">
        <v>1102</v>
      </c>
      <c r="F26" s="178" t="s">
        <v>1102</v>
      </c>
      <c r="G26" s="175">
        <f t="shared" si="0"/>
        <v>45883</v>
      </c>
      <c r="H26" s="175"/>
      <c r="I26" s="178" t="s">
        <v>1102</v>
      </c>
      <c r="J26" s="168"/>
      <c r="K26" s="187" t="str">
        <f t="shared" si="1"/>
        <v/>
      </c>
      <c r="L26" s="175"/>
      <c r="M26" s="187" t="str">
        <f t="shared" si="2"/>
        <v/>
      </c>
      <c r="N26" s="189" t="str">
        <f t="shared" si="3"/>
        <v/>
      </c>
      <c r="S26" s="257" t="s">
        <v>1362</v>
      </c>
      <c r="T26" s="258">
        <v>45970</v>
      </c>
      <c r="U26" s="258">
        <v>46062</v>
      </c>
    </row>
    <row r="27" spans="1:21" x14ac:dyDescent="0.25">
      <c r="A27" s="176">
        <v>22</v>
      </c>
      <c r="B27" s="177" t="s">
        <v>1376</v>
      </c>
      <c r="C27" s="175">
        <v>45862</v>
      </c>
      <c r="D27" s="175" t="s">
        <v>161</v>
      </c>
      <c r="E27" s="178" t="s">
        <v>1102</v>
      </c>
      <c r="F27" s="178" t="s">
        <v>1102</v>
      </c>
      <c r="G27" s="175">
        <f t="shared" si="0"/>
        <v>45891</v>
      </c>
      <c r="H27" s="175"/>
      <c r="I27" s="178" t="s">
        <v>1102</v>
      </c>
      <c r="J27" s="168"/>
      <c r="K27" s="187" t="str">
        <f t="shared" si="1"/>
        <v/>
      </c>
      <c r="L27" s="175"/>
      <c r="M27" s="187" t="str">
        <f t="shared" si="2"/>
        <v/>
      </c>
      <c r="N27" s="189" t="str">
        <f t="shared" si="3"/>
        <v/>
      </c>
      <c r="S27" s="257" t="s">
        <v>1363</v>
      </c>
      <c r="T27" s="258">
        <v>45990</v>
      </c>
      <c r="U27" s="258">
        <v>46082</v>
      </c>
    </row>
    <row r="28" spans="1:21" x14ac:dyDescent="0.25">
      <c r="A28" s="176">
        <v>23</v>
      </c>
      <c r="B28" s="177" t="s">
        <v>1379</v>
      </c>
      <c r="C28" s="175">
        <v>45863</v>
      </c>
      <c r="D28" s="175" t="s">
        <v>151</v>
      </c>
      <c r="E28" s="178" t="s">
        <v>1102</v>
      </c>
      <c r="F28" s="178" t="s">
        <v>1102</v>
      </c>
      <c r="G28" s="175">
        <f t="shared" si="0"/>
        <v>45894</v>
      </c>
      <c r="H28" s="175"/>
      <c r="I28" s="178" t="s">
        <v>1102</v>
      </c>
      <c r="J28" s="168"/>
      <c r="K28" s="187" t="str">
        <f t="shared" si="1"/>
        <v/>
      </c>
      <c r="L28" s="175"/>
      <c r="M28" s="187" t="str">
        <f t="shared" si="2"/>
        <v/>
      </c>
      <c r="N28" s="189" t="str">
        <f t="shared" si="3"/>
        <v/>
      </c>
      <c r="S28" s="257" t="s">
        <v>1364</v>
      </c>
      <c r="T28" s="258">
        <v>46007</v>
      </c>
      <c r="U28" s="258">
        <v>46097</v>
      </c>
    </row>
    <row r="29" spans="1:21" x14ac:dyDescent="0.25">
      <c r="A29" s="176">
        <v>24</v>
      </c>
      <c r="B29" s="177" t="s">
        <v>1380</v>
      </c>
      <c r="C29" s="175">
        <v>45866</v>
      </c>
      <c r="D29" s="175" t="s">
        <v>158</v>
      </c>
      <c r="E29" s="178" t="s">
        <v>1102</v>
      </c>
      <c r="F29" s="178" t="s">
        <v>1102</v>
      </c>
      <c r="G29" s="175">
        <f t="shared" si="0"/>
        <v>45895</v>
      </c>
      <c r="H29" s="175"/>
      <c r="I29" s="178" t="s">
        <v>1102</v>
      </c>
      <c r="J29" s="168"/>
      <c r="K29" s="187" t="str">
        <f t="shared" si="1"/>
        <v/>
      </c>
      <c r="L29" s="175"/>
      <c r="M29" s="187" t="str">
        <f t="shared" si="2"/>
        <v/>
      </c>
      <c r="N29" s="189" t="str">
        <f t="shared" si="3"/>
        <v/>
      </c>
    </row>
    <row r="30" spans="1:21" x14ac:dyDescent="0.25">
      <c r="A30" s="176">
        <v>25</v>
      </c>
      <c r="B30" s="177" t="s">
        <v>1381</v>
      </c>
      <c r="C30" s="175">
        <v>45867</v>
      </c>
      <c r="D30" s="175" t="s">
        <v>159</v>
      </c>
      <c r="E30" s="178" t="s">
        <v>1102</v>
      </c>
      <c r="F30" s="178" t="s">
        <v>1102</v>
      </c>
      <c r="G30" s="175">
        <f t="shared" si="0"/>
        <v>45896</v>
      </c>
      <c r="H30" s="175"/>
      <c r="I30" s="178" t="s">
        <v>1102</v>
      </c>
      <c r="J30" s="168"/>
      <c r="K30" s="187" t="str">
        <f t="shared" si="1"/>
        <v/>
      </c>
      <c r="L30" s="175"/>
      <c r="M30" s="187" t="str">
        <f t="shared" si="2"/>
        <v/>
      </c>
      <c r="N30" s="189" t="str">
        <f t="shared" si="3"/>
        <v/>
      </c>
    </row>
    <row r="31" spans="1:21" x14ac:dyDescent="0.25">
      <c r="A31" s="176">
        <v>26</v>
      </c>
      <c r="B31" s="177" t="s">
        <v>1405</v>
      </c>
      <c r="C31" s="175">
        <v>45868</v>
      </c>
      <c r="D31" s="175" t="s">
        <v>158</v>
      </c>
      <c r="E31" s="178" t="s">
        <v>1102</v>
      </c>
      <c r="F31" s="178" t="s">
        <v>1102</v>
      </c>
      <c r="G31" s="175">
        <f t="shared" si="0"/>
        <v>45897</v>
      </c>
      <c r="H31" s="175"/>
      <c r="I31" s="178" t="s">
        <v>1102</v>
      </c>
      <c r="J31" s="168"/>
      <c r="K31" s="187" t="str">
        <f t="shared" si="1"/>
        <v/>
      </c>
      <c r="L31" s="175"/>
      <c r="M31" s="187" t="str">
        <f t="shared" si="2"/>
        <v/>
      </c>
      <c r="N31" s="189" t="str">
        <f t="shared" si="3"/>
        <v/>
      </c>
    </row>
    <row r="32" spans="1:21" x14ac:dyDescent="0.25">
      <c r="A32" s="176">
        <v>27</v>
      </c>
      <c r="B32" s="177" t="s">
        <v>1412</v>
      </c>
      <c r="C32" s="175">
        <v>45870</v>
      </c>
      <c r="D32" s="175" t="s">
        <v>159</v>
      </c>
      <c r="E32" s="178" t="s">
        <v>1102</v>
      </c>
      <c r="F32" s="178" t="s">
        <v>1102</v>
      </c>
      <c r="G32" s="175">
        <f t="shared" si="0"/>
        <v>45901</v>
      </c>
      <c r="H32" s="175"/>
      <c r="I32" s="178" t="s">
        <v>1102</v>
      </c>
      <c r="J32" s="168"/>
      <c r="K32" s="187" t="str">
        <f t="shared" si="1"/>
        <v/>
      </c>
      <c r="L32" s="175"/>
      <c r="M32" s="187" t="str">
        <f t="shared" si="2"/>
        <v/>
      </c>
      <c r="N32" s="189" t="str">
        <f t="shared" si="3"/>
        <v/>
      </c>
    </row>
    <row r="33" spans="1:14" x14ac:dyDescent="0.25">
      <c r="A33" s="176">
        <v>28</v>
      </c>
      <c r="B33" s="177" t="s">
        <v>1433</v>
      </c>
      <c r="C33" s="175">
        <v>45860</v>
      </c>
      <c r="D33" s="175" t="s">
        <v>151</v>
      </c>
      <c r="E33" s="178" t="s">
        <v>1102</v>
      </c>
      <c r="F33" s="178" t="s">
        <v>1102</v>
      </c>
      <c r="G33" s="175">
        <f t="shared" si="0"/>
        <v>45889</v>
      </c>
      <c r="H33" s="175"/>
      <c r="I33" s="178"/>
      <c r="J33" s="168"/>
      <c r="K33" s="187" t="str">
        <f t="shared" si="1"/>
        <v/>
      </c>
      <c r="L33" s="175"/>
      <c r="M33" s="187" t="str">
        <f t="shared" si="2"/>
        <v/>
      </c>
      <c r="N33" s="189" t="str">
        <f t="shared" si="3"/>
        <v/>
      </c>
    </row>
    <row r="34" spans="1:14" x14ac:dyDescent="0.25">
      <c r="A34" s="176">
        <v>29</v>
      </c>
      <c r="B34" s="177"/>
      <c r="C34" s="175"/>
      <c r="D34" s="175"/>
      <c r="E34" s="178"/>
      <c r="F34" s="178"/>
      <c r="G34" s="175" t="str">
        <f t="shared" si="0"/>
        <v/>
      </c>
      <c r="H34" s="175"/>
      <c r="I34" s="178"/>
      <c r="J34" s="168"/>
      <c r="K34" s="187" t="str">
        <f t="shared" si="1"/>
        <v/>
      </c>
      <c r="L34" s="175"/>
      <c r="M34" s="187" t="str">
        <f t="shared" si="2"/>
        <v/>
      </c>
      <c r="N34" s="189" t="str">
        <f t="shared" si="3"/>
        <v/>
      </c>
    </row>
    <row r="35" spans="1:14" x14ac:dyDescent="0.25">
      <c r="A35" s="176">
        <v>30</v>
      </c>
      <c r="B35" s="177"/>
      <c r="C35" s="168"/>
      <c r="D35" s="168"/>
      <c r="E35" s="178"/>
      <c r="F35" s="178"/>
      <c r="G35" s="175" t="str">
        <f t="shared" si="0"/>
        <v/>
      </c>
      <c r="H35" s="175"/>
      <c r="I35" s="178"/>
      <c r="J35" s="168"/>
      <c r="K35" s="187" t="str">
        <f t="shared" si="1"/>
        <v/>
      </c>
      <c r="L35" s="175"/>
      <c r="M35" s="187" t="str">
        <f t="shared" si="2"/>
        <v/>
      </c>
      <c r="N35" s="189" t="str">
        <f t="shared" si="3"/>
        <v/>
      </c>
    </row>
    <row r="36" spans="1:14" x14ac:dyDescent="0.25">
      <c r="A36" s="176">
        <v>31</v>
      </c>
      <c r="B36" s="177"/>
      <c r="C36" s="168"/>
      <c r="D36" s="168"/>
      <c r="E36" s="178"/>
      <c r="F36" s="178"/>
      <c r="G36" s="175" t="str">
        <f t="shared" si="0"/>
        <v/>
      </c>
      <c r="H36" s="175"/>
      <c r="I36" s="178"/>
      <c r="J36" s="168"/>
      <c r="K36" s="187" t="str">
        <f t="shared" si="1"/>
        <v/>
      </c>
      <c r="L36" s="175"/>
      <c r="M36" s="187" t="str">
        <f t="shared" si="2"/>
        <v/>
      </c>
      <c r="N36" s="189" t="str">
        <f t="shared" si="3"/>
        <v/>
      </c>
    </row>
    <row r="37" spans="1:14" x14ac:dyDescent="0.25">
      <c r="A37" s="176">
        <v>32</v>
      </c>
      <c r="B37" s="177"/>
      <c r="C37" s="168"/>
      <c r="D37" s="168"/>
      <c r="E37" s="178"/>
      <c r="F37" s="178"/>
      <c r="G37" s="175" t="str">
        <f t="shared" si="0"/>
        <v/>
      </c>
      <c r="H37" s="175"/>
      <c r="I37" s="178"/>
      <c r="J37" s="168"/>
      <c r="K37" s="187" t="str">
        <f t="shared" si="1"/>
        <v/>
      </c>
      <c r="L37" s="175"/>
      <c r="M37" s="187" t="str">
        <f t="shared" si="2"/>
        <v/>
      </c>
      <c r="N37" s="189" t="str">
        <f t="shared" si="3"/>
        <v/>
      </c>
    </row>
    <row r="38" spans="1:14" x14ac:dyDescent="0.25">
      <c r="A38" s="176">
        <v>33</v>
      </c>
      <c r="B38" s="177"/>
      <c r="C38" s="168"/>
      <c r="D38" s="168"/>
      <c r="E38" s="178"/>
      <c r="F38" s="178"/>
      <c r="G38" s="175" t="str">
        <f t="shared" ref="G38:G71" si="7">IF(C38="","",WORKDAY(C38,19,$Q$6:$Q$104))</f>
        <v/>
      </c>
      <c r="H38" s="175"/>
      <c r="I38" s="178"/>
      <c r="J38" s="168"/>
      <c r="K38" s="187" t="str">
        <f t="shared" ref="K38:K71" si="8">IF(H38="","",EDATE(H38,5))</f>
        <v/>
      </c>
      <c r="L38" s="175"/>
      <c r="M38" s="187" t="str">
        <f t="shared" ref="M38:M71" si="9">IF(H38="","",EDATE(H38,6))</f>
        <v/>
      </c>
      <c r="N38" s="189" t="str">
        <f t="shared" ref="N38:N69" si="10">IF(L38="si", DATE(YEAR(M38), MONTH(M38)+3, DAY(M38)), "")</f>
        <v/>
      </c>
    </row>
    <row r="39" spans="1:14" x14ac:dyDescent="0.25">
      <c r="A39" s="176">
        <v>34</v>
      </c>
      <c r="B39" s="177"/>
      <c r="C39" s="168"/>
      <c r="D39" s="168"/>
      <c r="E39" s="178"/>
      <c r="F39" s="178"/>
      <c r="G39" s="175" t="str">
        <f t="shared" si="7"/>
        <v/>
      </c>
      <c r="H39" s="175"/>
      <c r="I39" s="178"/>
      <c r="J39" s="168"/>
      <c r="K39" s="187" t="str">
        <f t="shared" si="8"/>
        <v/>
      </c>
      <c r="L39" s="175"/>
      <c r="M39" s="187" t="str">
        <f t="shared" si="9"/>
        <v/>
      </c>
      <c r="N39" s="189" t="str">
        <f t="shared" si="10"/>
        <v/>
      </c>
    </row>
    <row r="40" spans="1:14" x14ac:dyDescent="0.25">
      <c r="A40" s="176">
        <v>35</v>
      </c>
      <c r="B40" s="177"/>
      <c r="C40" s="168"/>
      <c r="D40" s="168"/>
      <c r="E40" s="178"/>
      <c r="F40" s="178"/>
      <c r="G40" s="175" t="str">
        <f t="shared" si="7"/>
        <v/>
      </c>
      <c r="H40" s="175"/>
      <c r="I40" s="178"/>
      <c r="J40" s="168"/>
      <c r="K40" s="187" t="str">
        <f t="shared" si="8"/>
        <v/>
      </c>
      <c r="L40" s="175"/>
      <c r="M40" s="187" t="str">
        <f t="shared" si="9"/>
        <v/>
      </c>
      <c r="N40" s="189" t="str">
        <f t="shared" si="10"/>
        <v/>
      </c>
    </row>
    <row r="41" spans="1:14" x14ac:dyDescent="0.25">
      <c r="A41" s="176">
        <v>36</v>
      </c>
      <c r="B41" s="177"/>
      <c r="C41" s="168"/>
      <c r="D41" s="168"/>
      <c r="E41" s="178"/>
      <c r="F41" s="178"/>
      <c r="G41" s="175" t="str">
        <f t="shared" si="7"/>
        <v/>
      </c>
      <c r="H41" s="175"/>
      <c r="I41" s="178"/>
      <c r="J41" s="168"/>
      <c r="K41" s="187" t="str">
        <f t="shared" si="8"/>
        <v/>
      </c>
      <c r="L41" s="175"/>
      <c r="M41" s="187" t="str">
        <f t="shared" si="9"/>
        <v/>
      </c>
      <c r="N41" s="189" t="str">
        <f t="shared" si="10"/>
        <v/>
      </c>
    </row>
    <row r="42" spans="1:14" x14ac:dyDescent="0.25">
      <c r="A42" s="176">
        <v>37</v>
      </c>
      <c r="B42" s="177"/>
      <c r="C42" s="168"/>
      <c r="D42" s="168"/>
      <c r="E42" s="178"/>
      <c r="F42" s="178"/>
      <c r="G42" s="175" t="str">
        <f t="shared" si="7"/>
        <v/>
      </c>
      <c r="H42" s="175"/>
      <c r="I42" s="178"/>
      <c r="J42" s="168"/>
      <c r="K42" s="187" t="str">
        <f t="shared" si="8"/>
        <v/>
      </c>
      <c r="L42" s="175"/>
      <c r="M42" s="187" t="str">
        <f t="shared" si="9"/>
        <v/>
      </c>
      <c r="N42" s="189" t="str">
        <f t="shared" si="10"/>
        <v/>
      </c>
    </row>
    <row r="43" spans="1:14" x14ac:dyDescent="0.25">
      <c r="A43" s="176">
        <v>38</v>
      </c>
      <c r="B43" s="177"/>
      <c r="C43" s="168"/>
      <c r="D43" s="168"/>
      <c r="E43" s="178"/>
      <c r="F43" s="178"/>
      <c r="G43" s="175" t="str">
        <f t="shared" si="7"/>
        <v/>
      </c>
      <c r="H43" s="175"/>
      <c r="I43" s="178"/>
      <c r="J43" s="168"/>
      <c r="K43" s="187" t="str">
        <f t="shared" si="8"/>
        <v/>
      </c>
      <c r="L43" s="175"/>
      <c r="M43" s="187" t="str">
        <f t="shared" si="9"/>
        <v/>
      </c>
      <c r="N43" s="189" t="str">
        <f t="shared" si="10"/>
        <v/>
      </c>
    </row>
    <row r="44" spans="1:14" x14ac:dyDescent="0.25">
      <c r="A44" s="176">
        <v>39</v>
      </c>
      <c r="B44" s="177"/>
      <c r="C44" s="168"/>
      <c r="D44" s="168"/>
      <c r="E44" s="178"/>
      <c r="F44" s="178"/>
      <c r="G44" s="175" t="str">
        <f t="shared" si="7"/>
        <v/>
      </c>
      <c r="H44" s="175"/>
      <c r="I44" s="178"/>
      <c r="J44" s="168"/>
      <c r="K44" s="187" t="str">
        <f t="shared" si="8"/>
        <v/>
      </c>
      <c r="L44" s="175"/>
      <c r="M44" s="187" t="str">
        <f t="shared" si="9"/>
        <v/>
      </c>
      <c r="N44" s="189" t="str">
        <f t="shared" si="10"/>
        <v/>
      </c>
    </row>
    <row r="45" spans="1:14" x14ac:dyDescent="0.25">
      <c r="A45" s="176">
        <v>40</v>
      </c>
      <c r="B45" s="177"/>
      <c r="C45" s="168"/>
      <c r="D45" s="168"/>
      <c r="E45" s="178"/>
      <c r="F45" s="178"/>
      <c r="G45" s="175" t="str">
        <f t="shared" si="7"/>
        <v/>
      </c>
      <c r="H45" s="175"/>
      <c r="I45" s="178"/>
      <c r="J45" s="168"/>
      <c r="K45" s="187" t="str">
        <f t="shared" si="8"/>
        <v/>
      </c>
      <c r="L45" s="175"/>
      <c r="M45" s="187" t="str">
        <f t="shared" si="9"/>
        <v/>
      </c>
      <c r="N45" s="189" t="str">
        <f t="shared" si="10"/>
        <v/>
      </c>
    </row>
    <row r="46" spans="1:14" x14ac:dyDescent="0.25">
      <c r="A46" s="176">
        <v>41</v>
      </c>
      <c r="B46" s="177"/>
      <c r="C46" s="168"/>
      <c r="D46" s="168"/>
      <c r="E46" s="178"/>
      <c r="F46" s="178"/>
      <c r="G46" s="175" t="str">
        <f t="shared" si="7"/>
        <v/>
      </c>
      <c r="H46" s="175"/>
      <c r="I46" s="178"/>
      <c r="J46" s="168"/>
      <c r="K46" s="187" t="str">
        <f t="shared" si="8"/>
        <v/>
      </c>
      <c r="L46" s="175"/>
      <c r="M46" s="187" t="str">
        <f t="shared" si="9"/>
        <v/>
      </c>
      <c r="N46" s="189" t="str">
        <f t="shared" si="10"/>
        <v/>
      </c>
    </row>
    <row r="47" spans="1:14" x14ac:dyDescent="0.25">
      <c r="A47" s="176">
        <v>42</v>
      </c>
      <c r="B47" s="177"/>
      <c r="C47" s="168"/>
      <c r="D47" s="168"/>
      <c r="E47" s="178"/>
      <c r="F47" s="178"/>
      <c r="G47" s="175" t="str">
        <f t="shared" si="7"/>
        <v/>
      </c>
      <c r="H47" s="175"/>
      <c r="I47" s="178"/>
      <c r="J47" s="168"/>
      <c r="K47" s="187" t="str">
        <f t="shared" si="8"/>
        <v/>
      </c>
      <c r="L47" s="175"/>
      <c r="M47" s="187" t="str">
        <f t="shared" si="9"/>
        <v/>
      </c>
      <c r="N47" s="189" t="str">
        <f t="shared" si="10"/>
        <v/>
      </c>
    </row>
    <row r="48" spans="1:14" x14ac:dyDescent="0.25">
      <c r="A48" s="176">
        <v>43</v>
      </c>
      <c r="B48" s="177"/>
      <c r="C48" s="168"/>
      <c r="D48" s="168"/>
      <c r="E48" s="178"/>
      <c r="F48" s="178"/>
      <c r="G48" s="175" t="str">
        <f t="shared" si="7"/>
        <v/>
      </c>
      <c r="H48" s="175"/>
      <c r="I48" s="178"/>
      <c r="J48" s="168"/>
      <c r="K48" s="187" t="str">
        <f t="shared" si="8"/>
        <v/>
      </c>
      <c r="L48" s="175"/>
      <c r="M48" s="187" t="str">
        <f t="shared" si="9"/>
        <v/>
      </c>
      <c r="N48" s="189" t="str">
        <f t="shared" si="10"/>
        <v/>
      </c>
    </row>
    <row r="49" spans="1:14" x14ac:dyDescent="0.25">
      <c r="A49" s="176">
        <v>44</v>
      </c>
      <c r="B49" s="177"/>
      <c r="C49" s="168"/>
      <c r="D49" s="168"/>
      <c r="E49" s="178"/>
      <c r="F49" s="178"/>
      <c r="G49" s="175" t="str">
        <f t="shared" si="7"/>
        <v/>
      </c>
      <c r="H49" s="175"/>
      <c r="I49" s="178"/>
      <c r="J49" s="168"/>
      <c r="K49" s="187" t="str">
        <f t="shared" si="8"/>
        <v/>
      </c>
      <c r="L49" s="175"/>
      <c r="M49" s="187" t="str">
        <f t="shared" si="9"/>
        <v/>
      </c>
      <c r="N49" s="189" t="str">
        <f t="shared" si="10"/>
        <v/>
      </c>
    </row>
    <row r="50" spans="1:14" x14ac:dyDescent="0.25">
      <c r="A50" s="176">
        <v>45</v>
      </c>
      <c r="B50" s="177"/>
      <c r="C50" s="168"/>
      <c r="D50" s="168"/>
      <c r="E50" s="178"/>
      <c r="F50" s="178"/>
      <c r="G50" s="175" t="str">
        <f t="shared" si="7"/>
        <v/>
      </c>
      <c r="H50" s="175"/>
      <c r="I50" s="178"/>
      <c r="J50" s="168"/>
      <c r="K50" s="187" t="str">
        <f t="shared" si="8"/>
        <v/>
      </c>
      <c r="L50" s="175"/>
      <c r="M50" s="187" t="str">
        <f t="shared" si="9"/>
        <v/>
      </c>
      <c r="N50" s="189" t="str">
        <f t="shared" si="10"/>
        <v/>
      </c>
    </row>
    <row r="51" spans="1:14" x14ac:dyDescent="0.25">
      <c r="A51" s="176">
        <v>46</v>
      </c>
      <c r="B51" s="177"/>
      <c r="C51" s="168"/>
      <c r="D51" s="168"/>
      <c r="E51" s="178"/>
      <c r="F51" s="178"/>
      <c r="G51" s="175" t="str">
        <f t="shared" si="7"/>
        <v/>
      </c>
      <c r="H51" s="175"/>
      <c r="I51" s="178"/>
      <c r="J51" s="168"/>
      <c r="K51" s="187" t="str">
        <f t="shared" si="8"/>
        <v/>
      </c>
      <c r="L51" s="175"/>
      <c r="M51" s="187" t="str">
        <f t="shared" si="9"/>
        <v/>
      </c>
      <c r="N51" s="189" t="str">
        <f t="shared" si="10"/>
        <v/>
      </c>
    </row>
    <row r="52" spans="1:14" x14ac:dyDescent="0.25">
      <c r="A52" s="176">
        <v>47</v>
      </c>
      <c r="B52" s="177"/>
      <c r="C52" s="168"/>
      <c r="D52" s="168"/>
      <c r="E52" s="178"/>
      <c r="F52" s="178"/>
      <c r="G52" s="175" t="str">
        <f t="shared" si="7"/>
        <v/>
      </c>
      <c r="H52" s="175"/>
      <c r="I52" s="178"/>
      <c r="J52" s="168"/>
      <c r="K52" s="187" t="str">
        <f t="shared" si="8"/>
        <v/>
      </c>
      <c r="L52" s="175"/>
      <c r="M52" s="187" t="str">
        <f t="shared" si="9"/>
        <v/>
      </c>
      <c r="N52" s="189" t="str">
        <f t="shared" si="10"/>
        <v/>
      </c>
    </row>
    <row r="53" spans="1:14" x14ac:dyDescent="0.25">
      <c r="A53" s="176">
        <v>48</v>
      </c>
      <c r="B53" s="177"/>
      <c r="C53" s="168"/>
      <c r="D53" s="168"/>
      <c r="E53" s="178"/>
      <c r="F53" s="178"/>
      <c r="G53" s="175" t="str">
        <f t="shared" si="7"/>
        <v/>
      </c>
      <c r="H53" s="175"/>
      <c r="I53" s="178"/>
      <c r="J53" s="168"/>
      <c r="K53" s="187" t="str">
        <f t="shared" si="8"/>
        <v/>
      </c>
      <c r="L53" s="175"/>
      <c r="M53" s="187" t="str">
        <f t="shared" si="9"/>
        <v/>
      </c>
      <c r="N53" s="189" t="str">
        <f t="shared" si="10"/>
        <v/>
      </c>
    </row>
    <row r="54" spans="1:14" x14ac:dyDescent="0.25">
      <c r="A54" s="176">
        <v>49</v>
      </c>
      <c r="B54" s="177"/>
      <c r="C54" s="168"/>
      <c r="D54" s="168"/>
      <c r="E54" s="178"/>
      <c r="F54" s="178"/>
      <c r="G54" s="175" t="str">
        <f t="shared" si="7"/>
        <v/>
      </c>
      <c r="H54" s="175"/>
      <c r="I54" s="178"/>
      <c r="J54" s="168"/>
      <c r="K54" s="187" t="str">
        <f t="shared" si="8"/>
        <v/>
      </c>
      <c r="L54" s="175"/>
      <c r="M54" s="187" t="str">
        <f t="shared" si="9"/>
        <v/>
      </c>
      <c r="N54" s="189" t="str">
        <f t="shared" si="10"/>
        <v/>
      </c>
    </row>
    <row r="55" spans="1:14" x14ac:dyDescent="0.25">
      <c r="A55" s="176">
        <v>50</v>
      </c>
      <c r="B55" s="177"/>
      <c r="C55" s="168"/>
      <c r="D55" s="168"/>
      <c r="E55" s="178"/>
      <c r="F55" s="178"/>
      <c r="G55" s="175" t="str">
        <f t="shared" si="7"/>
        <v/>
      </c>
      <c r="H55" s="175"/>
      <c r="I55" s="178"/>
      <c r="J55" s="168"/>
      <c r="K55" s="187" t="str">
        <f t="shared" si="8"/>
        <v/>
      </c>
      <c r="L55" s="175"/>
      <c r="M55" s="187" t="str">
        <f t="shared" si="9"/>
        <v/>
      </c>
      <c r="N55" s="189" t="str">
        <f t="shared" si="10"/>
        <v/>
      </c>
    </row>
    <row r="56" spans="1:14" x14ac:dyDescent="0.25">
      <c r="A56" s="176">
        <v>51</v>
      </c>
      <c r="B56" s="177"/>
      <c r="C56" s="168"/>
      <c r="D56" s="168"/>
      <c r="E56" s="178"/>
      <c r="F56" s="178"/>
      <c r="G56" s="175" t="str">
        <f t="shared" si="7"/>
        <v/>
      </c>
      <c r="H56" s="175"/>
      <c r="I56" s="178"/>
      <c r="J56" s="168"/>
      <c r="K56" s="187" t="str">
        <f t="shared" si="8"/>
        <v/>
      </c>
      <c r="L56" s="175"/>
      <c r="M56" s="187" t="str">
        <f t="shared" si="9"/>
        <v/>
      </c>
      <c r="N56" s="189" t="str">
        <f t="shared" si="10"/>
        <v/>
      </c>
    </row>
    <row r="57" spans="1:14" x14ac:dyDescent="0.25">
      <c r="A57" s="176">
        <v>52</v>
      </c>
      <c r="B57" s="177"/>
      <c r="C57" s="168"/>
      <c r="D57" s="168"/>
      <c r="E57" s="178"/>
      <c r="F57" s="178"/>
      <c r="G57" s="175" t="str">
        <f t="shared" si="7"/>
        <v/>
      </c>
      <c r="H57" s="175"/>
      <c r="I57" s="178"/>
      <c r="J57" s="168"/>
      <c r="K57" s="187" t="str">
        <f t="shared" si="8"/>
        <v/>
      </c>
      <c r="L57" s="175"/>
      <c r="M57" s="187" t="str">
        <f t="shared" si="9"/>
        <v/>
      </c>
      <c r="N57" s="189" t="str">
        <f t="shared" si="10"/>
        <v/>
      </c>
    </row>
    <row r="58" spans="1:14" x14ac:dyDescent="0.25">
      <c r="A58" s="176">
        <v>53</v>
      </c>
      <c r="B58" s="177"/>
      <c r="C58" s="168"/>
      <c r="D58" s="168"/>
      <c r="E58" s="178"/>
      <c r="F58" s="178"/>
      <c r="G58" s="175" t="str">
        <f t="shared" si="7"/>
        <v/>
      </c>
      <c r="H58" s="175"/>
      <c r="I58" s="178"/>
      <c r="J58" s="168"/>
      <c r="K58" s="187" t="str">
        <f t="shared" si="8"/>
        <v/>
      </c>
      <c r="L58" s="175"/>
      <c r="M58" s="187" t="str">
        <f t="shared" si="9"/>
        <v/>
      </c>
      <c r="N58" s="189" t="str">
        <f t="shared" si="10"/>
        <v/>
      </c>
    </row>
    <row r="59" spans="1:14" x14ac:dyDescent="0.25">
      <c r="A59" s="176">
        <v>54</v>
      </c>
      <c r="B59" s="177"/>
      <c r="C59" s="168"/>
      <c r="D59" s="168"/>
      <c r="E59" s="178"/>
      <c r="F59" s="178"/>
      <c r="G59" s="175" t="str">
        <f t="shared" si="7"/>
        <v/>
      </c>
      <c r="H59" s="175"/>
      <c r="I59" s="178"/>
      <c r="J59" s="168"/>
      <c r="K59" s="187" t="str">
        <f t="shared" si="8"/>
        <v/>
      </c>
      <c r="L59" s="175"/>
      <c r="M59" s="187" t="str">
        <f t="shared" si="9"/>
        <v/>
      </c>
      <c r="N59" s="189" t="str">
        <f t="shared" si="10"/>
        <v/>
      </c>
    </row>
    <row r="60" spans="1:14" x14ac:dyDescent="0.25">
      <c r="A60" s="176">
        <v>55</v>
      </c>
      <c r="B60" s="177"/>
      <c r="C60" s="168"/>
      <c r="D60" s="168"/>
      <c r="E60" s="178"/>
      <c r="F60" s="178"/>
      <c r="G60" s="175" t="str">
        <f t="shared" si="7"/>
        <v/>
      </c>
      <c r="H60" s="175"/>
      <c r="I60" s="178"/>
      <c r="J60" s="168"/>
      <c r="K60" s="187" t="str">
        <f t="shared" si="8"/>
        <v/>
      </c>
      <c r="L60" s="175"/>
      <c r="M60" s="187" t="str">
        <f t="shared" si="9"/>
        <v/>
      </c>
      <c r="N60" s="189" t="str">
        <f t="shared" si="10"/>
        <v/>
      </c>
    </row>
    <row r="61" spans="1:14" x14ac:dyDescent="0.25">
      <c r="A61" s="176">
        <v>56</v>
      </c>
      <c r="B61" s="177"/>
      <c r="C61" s="168"/>
      <c r="D61" s="168"/>
      <c r="E61" s="178"/>
      <c r="F61" s="178"/>
      <c r="G61" s="175" t="str">
        <f t="shared" si="7"/>
        <v/>
      </c>
      <c r="H61" s="175"/>
      <c r="I61" s="178"/>
      <c r="J61" s="168"/>
      <c r="K61" s="187" t="str">
        <f t="shared" si="8"/>
        <v/>
      </c>
      <c r="L61" s="175"/>
      <c r="M61" s="187" t="str">
        <f t="shared" si="9"/>
        <v/>
      </c>
      <c r="N61" s="189" t="str">
        <f t="shared" si="10"/>
        <v/>
      </c>
    </row>
    <row r="62" spans="1:14" x14ac:dyDescent="0.25">
      <c r="A62" s="176">
        <v>57</v>
      </c>
      <c r="B62" s="177"/>
      <c r="C62" s="168"/>
      <c r="D62" s="168"/>
      <c r="E62" s="178"/>
      <c r="F62" s="178"/>
      <c r="G62" s="175" t="str">
        <f t="shared" si="7"/>
        <v/>
      </c>
      <c r="H62" s="175"/>
      <c r="I62" s="178"/>
      <c r="J62" s="168"/>
      <c r="K62" s="187" t="str">
        <f t="shared" si="8"/>
        <v/>
      </c>
      <c r="L62" s="175"/>
      <c r="M62" s="187" t="str">
        <f t="shared" si="9"/>
        <v/>
      </c>
      <c r="N62" s="189" t="str">
        <f t="shared" si="10"/>
        <v/>
      </c>
    </row>
    <row r="63" spans="1:14" x14ac:dyDescent="0.25">
      <c r="A63" s="176">
        <v>58</v>
      </c>
      <c r="B63" s="177"/>
      <c r="C63" s="168"/>
      <c r="D63" s="168"/>
      <c r="E63" s="178"/>
      <c r="F63" s="178"/>
      <c r="G63" s="175" t="str">
        <f t="shared" si="7"/>
        <v/>
      </c>
      <c r="H63" s="175"/>
      <c r="I63" s="178"/>
      <c r="J63" s="168"/>
      <c r="K63" s="187" t="str">
        <f t="shared" si="8"/>
        <v/>
      </c>
      <c r="L63" s="175"/>
      <c r="M63" s="187" t="str">
        <f t="shared" si="9"/>
        <v/>
      </c>
      <c r="N63" s="189" t="str">
        <f t="shared" si="10"/>
        <v/>
      </c>
    </row>
    <row r="64" spans="1:14" x14ac:dyDescent="0.25">
      <c r="A64" s="176">
        <v>59</v>
      </c>
      <c r="B64" s="177"/>
      <c r="C64" s="168"/>
      <c r="D64" s="168"/>
      <c r="E64" s="178"/>
      <c r="F64" s="178"/>
      <c r="G64" s="175" t="str">
        <f t="shared" si="7"/>
        <v/>
      </c>
      <c r="H64" s="175"/>
      <c r="I64" s="178"/>
      <c r="J64" s="168"/>
      <c r="K64" s="187" t="str">
        <f t="shared" si="8"/>
        <v/>
      </c>
      <c r="L64" s="175"/>
      <c r="M64" s="187" t="str">
        <f t="shared" si="9"/>
        <v/>
      </c>
      <c r="N64" s="189" t="str">
        <f t="shared" si="10"/>
        <v/>
      </c>
    </row>
    <row r="65" spans="1:14" x14ac:dyDescent="0.25">
      <c r="A65" s="176">
        <v>60</v>
      </c>
      <c r="B65" s="177"/>
      <c r="C65" s="168"/>
      <c r="D65" s="168"/>
      <c r="E65" s="178"/>
      <c r="F65" s="178"/>
      <c r="G65" s="175" t="str">
        <f t="shared" si="7"/>
        <v/>
      </c>
      <c r="H65" s="175"/>
      <c r="I65" s="178"/>
      <c r="J65" s="168"/>
      <c r="K65" s="187" t="str">
        <f t="shared" si="8"/>
        <v/>
      </c>
      <c r="L65" s="175"/>
      <c r="M65" s="187" t="str">
        <f t="shared" si="9"/>
        <v/>
      </c>
      <c r="N65" s="189" t="str">
        <f t="shared" si="10"/>
        <v/>
      </c>
    </row>
    <row r="66" spans="1:14" x14ac:dyDescent="0.25">
      <c r="A66" s="176">
        <v>61</v>
      </c>
      <c r="B66" s="177"/>
      <c r="C66" s="168"/>
      <c r="D66" s="168"/>
      <c r="E66" s="178"/>
      <c r="F66" s="178"/>
      <c r="G66" s="175" t="str">
        <f t="shared" si="7"/>
        <v/>
      </c>
      <c r="H66" s="175"/>
      <c r="I66" s="178"/>
      <c r="J66" s="168"/>
      <c r="K66" s="187" t="str">
        <f t="shared" si="8"/>
        <v/>
      </c>
      <c r="L66" s="175"/>
      <c r="M66" s="187" t="str">
        <f t="shared" si="9"/>
        <v/>
      </c>
      <c r="N66" s="189" t="str">
        <f t="shared" si="10"/>
        <v/>
      </c>
    </row>
    <row r="67" spans="1:14" x14ac:dyDescent="0.25">
      <c r="A67" s="176">
        <v>62</v>
      </c>
      <c r="B67" s="177"/>
      <c r="C67" s="168"/>
      <c r="D67" s="168"/>
      <c r="E67" s="178"/>
      <c r="F67" s="178"/>
      <c r="G67" s="175" t="str">
        <f t="shared" si="7"/>
        <v/>
      </c>
      <c r="H67" s="175"/>
      <c r="I67" s="178"/>
      <c r="J67" s="168"/>
      <c r="K67" s="187" t="str">
        <f t="shared" si="8"/>
        <v/>
      </c>
      <c r="L67" s="175"/>
      <c r="M67" s="187" t="str">
        <f t="shared" si="9"/>
        <v/>
      </c>
      <c r="N67" s="189" t="str">
        <f t="shared" si="10"/>
        <v/>
      </c>
    </row>
    <row r="68" spans="1:14" x14ac:dyDescent="0.25">
      <c r="A68" s="176">
        <v>63</v>
      </c>
      <c r="B68" s="177"/>
      <c r="C68" s="168"/>
      <c r="D68" s="168"/>
      <c r="E68" s="178"/>
      <c r="F68" s="178"/>
      <c r="G68" s="175" t="str">
        <f t="shared" si="7"/>
        <v/>
      </c>
      <c r="H68" s="175"/>
      <c r="I68" s="178"/>
      <c r="J68" s="168"/>
      <c r="K68" s="187" t="str">
        <f t="shared" si="8"/>
        <v/>
      </c>
      <c r="L68" s="175"/>
      <c r="M68" s="187" t="str">
        <f t="shared" si="9"/>
        <v/>
      </c>
      <c r="N68" s="189" t="str">
        <f t="shared" si="10"/>
        <v/>
      </c>
    </row>
    <row r="69" spans="1:14" x14ac:dyDescent="0.25">
      <c r="A69" s="176">
        <v>64</v>
      </c>
      <c r="B69" s="177"/>
      <c r="C69" s="168"/>
      <c r="D69" s="168"/>
      <c r="E69" s="178"/>
      <c r="F69" s="178"/>
      <c r="G69" s="175" t="str">
        <f t="shared" si="7"/>
        <v/>
      </c>
      <c r="H69" s="175"/>
      <c r="I69" s="178"/>
      <c r="J69" s="168"/>
      <c r="K69" s="187" t="str">
        <f t="shared" si="8"/>
        <v/>
      </c>
      <c r="L69" s="175"/>
      <c r="M69" s="187" t="str">
        <f t="shared" si="9"/>
        <v/>
      </c>
      <c r="N69" s="189" t="str">
        <f t="shared" si="10"/>
        <v/>
      </c>
    </row>
    <row r="70" spans="1:14" x14ac:dyDescent="0.25">
      <c r="A70" s="176">
        <v>65</v>
      </c>
      <c r="B70" s="177"/>
      <c r="C70" s="168"/>
      <c r="D70" s="168"/>
      <c r="E70" s="178"/>
      <c r="F70" s="178"/>
      <c r="G70" s="175" t="str">
        <f t="shared" si="7"/>
        <v/>
      </c>
      <c r="H70" s="175"/>
      <c r="I70" s="178"/>
      <c r="J70" s="168"/>
      <c r="K70" s="187" t="str">
        <f t="shared" si="8"/>
        <v/>
      </c>
      <c r="L70" s="175"/>
      <c r="M70" s="187" t="str">
        <f t="shared" si="9"/>
        <v/>
      </c>
      <c r="N70" s="189" t="str">
        <f t="shared" ref="N70:N71" si="11">IF(L70="si", DATE(YEAR(M70), MONTH(M70)+3, DAY(M70)), "")</f>
        <v/>
      </c>
    </row>
    <row r="71" spans="1:14" x14ac:dyDescent="0.25">
      <c r="A71" s="179"/>
      <c r="B71" s="180"/>
      <c r="C71" s="181"/>
      <c r="D71" s="181"/>
      <c r="E71" s="178"/>
      <c r="F71" s="178"/>
      <c r="G71" s="175" t="str">
        <f t="shared" si="7"/>
        <v/>
      </c>
      <c r="H71" s="175"/>
      <c r="I71" s="178"/>
      <c r="J71" s="181"/>
      <c r="K71" s="187" t="str">
        <f t="shared" si="8"/>
        <v/>
      </c>
      <c r="L71" s="175"/>
      <c r="M71" s="187" t="str">
        <f t="shared" si="9"/>
        <v/>
      </c>
      <c r="N71" s="189" t="str">
        <f t="shared" si="11"/>
        <v/>
      </c>
    </row>
  </sheetData>
  <mergeCells count="3">
    <mergeCell ref="A1:C3"/>
    <mergeCell ref="D1:N3"/>
    <mergeCell ref="A4:N4"/>
  </mergeCells>
  <conditionalFormatting sqref="E6:E71">
    <cfRule type="containsText" dxfId="72" priority="27" operator="containsText" text="Rechazado">
      <formula>NOT(ISERROR(SEARCH("Rechazado",E6)))</formula>
    </cfRule>
    <cfRule type="containsText" dxfId="71" priority="28" operator="containsText" text="Aprobado">
      <formula>NOT(ISERROR(SEARCH("Aprobado",E6)))</formula>
    </cfRule>
    <cfRule type="containsText" dxfId="70" priority="29" operator="containsText" text="En revisión ">
      <formula>NOT(ISERROR(SEARCH("En revisión ",E6)))</formula>
    </cfRule>
  </conditionalFormatting>
  <conditionalFormatting sqref="F6:F71">
    <cfRule type="containsText" dxfId="69" priority="4" operator="containsText" text="Rechazado">
      <formula>NOT(ISERROR(SEARCH("Rechazado",F6)))</formula>
    </cfRule>
    <cfRule type="containsText" dxfId="68" priority="5" operator="containsText" text="Aprobado">
      <formula>NOT(ISERROR(SEARCH("Aprobado",F6)))</formula>
    </cfRule>
    <cfRule type="containsText" dxfId="67" priority="6" operator="containsText" text="En revisión ">
      <formula>NOT(ISERROR(SEARCH("En revisión ",F6)))</formula>
    </cfRule>
  </conditionalFormatting>
  <conditionalFormatting sqref="I6:I71">
    <cfRule type="containsText" dxfId="66" priority="1" operator="containsText" text="Rechazado">
      <formula>NOT(ISERROR(SEARCH("Rechazado",I6)))</formula>
    </cfRule>
    <cfRule type="containsText" dxfId="65" priority="2" operator="containsText" text="Aprobado">
      <formula>NOT(ISERROR(SEARCH("Aprobado",I6)))</formula>
    </cfRule>
    <cfRule type="containsText" dxfId="64" priority="3" operator="containsText" text="En revisión ">
      <formula>NOT(ISERROR(SEARCH("En revisión ",I6)))</formula>
    </cfRule>
  </conditionalFormatting>
  <conditionalFormatting sqref="K6:L71">
    <cfRule type="expression" dxfId="63" priority="19">
      <formula>AND(K6&lt;&gt;"", TODAY()&lt;=K6-8)</formula>
    </cfRule>
    <cfRule type="expression" dxfId="62" priority="20">
      <formula>AND(K6&lt;&gt;"", OR(TODAY()&gt;=K6-1, TODAY()&gt;K6))</formula>
    </cfRule>
    <cfRule type="expression" dxfId="61" priority="21">
      <formula>AND(K6&lt;&gt;"", TODAY()&gt;K6-8,TODAY()&lt;K6-1)</formula>
    </cfRule>
  </conditionalFormatting>
  <pageMargins left="0.7" right="0.7" top="0.75" bottom="0.75" header="0.3" footer="0.3"/>
  <pageSetup scale="26" orientation="portrait"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51D216-DD8E-4A36-ACF5-9E23EB1897E1}">
  <sheetPr codeName="Hoja11">
    <tabColor rgb="FF00B050"/>
  </sheetPr>
  <dimension ref="A1:P71"/>
  <sheetViews>
    <sheetView topLeftCell="A12" zoomScale="85" zoomScaleNormal="85" workbookViewId="0">
      <selection activeCell="E7" sqref="E7"/>
    </sheetView>
  </sheetViews>
  <sheetFormatPr baseColWidth="10" defaultColWidth="11.42578125" defaultRowHeight="15" x14ac:dyDescent="0.25"/>
  <cols>
    <col min="1" max="1" width="7.5703125" style="65" customWidth="1"/>
    <col min="2" max="2" width="27" style="18" customWidth="1"/>
    <col min="3" max="3" width="17" style="5" customWidth="1"/>
    <col min="4" max="4" width="19.140625" style="5" customWidth="1"/>
    <col min="5" max="5" width="18" style="5" bestFit="1" customWidth="1"/>
    <col min="6" max="6" width="26.140625" style="5" bestFit="1" customWidth="1"/>
    <col min="7" max="7" width="41.28515625" style="5" bestFit="1" customWidth="1"/>
    <col min="8" max="8" width="26.85546875" style="5" customWidth="1"/>
    <col min="9" max="9" width="65.85546875" style="5" bestFit="1" customWidth="1"/>
    <col min="10" max="10" width="33.28515625" style="57" customWidth="1"/>
    <col min="11" max="11" width="23.42578125" style="65" bestFit="1" customWidth="1"/>
    <col min="12" max="12" width="18" style="18" bestFit="1" customWidth="1"/>
    <col min="13" max="13" width="19.42578125" style="18" bestFit="1" customWidth="1"/>
    <col min="14" max="14" width="34.85546875" style="18" bestFit="1" customWidth="1"/>
    <col min="15" max="15" width="49.5703125" style="18" bestFit="1" customWidth="1"/>
    <col min="16" max="16384" width="11.42578125" style="18"/>
  </cols>
  <sheetData>
    <row r="1" spans="1:16" s="161" customFormat="1" ht="26.25" customHeight="1" x14ac:dyDescent="0.25">
      <c r="A1" s="269" t="e" vm="1">
        <v>#VALUE!</v>
      </c>
      <c r="B1" s="269"/>
      <c r="C1" s="269"/>
      <c r="D1" s="284" t="s">
        <v>1122</v>
      </c>
      <c r="E1" s="285"/>
      <c r="F1" s="285"/>
      <c r="G1" s="285"/>
      <c r="H1" s="285"/>
      <c r="I1" s="285"/>
      <c r="J1" s="285"/>
      <c r="K1" s="286"/>
      <c r="L1" s="284" t="s">
        <v>1123</v>
      </c>
      <c r="M1" s="285"/>
      <c r="N1" s="285"/>
      <c r="O1" s="285"/>
    </row>
    <row r="2" spans="1:16" s="161" customFormat="1" ht="26.25" customHeight="1" x14ac:dyDescent="0.25">
      <c r="A2" s="269"/>
      <c r="B2" s="269"/>
      <c r="C2" s="269"/>
      <c r="D2" s="271"/>
      <c r="E2" s="287"/>
      <c r="F2" s="287"/>
      <c r="G2" s="287"/>
      <c r="H2" s="287"/>
      <c r="I2" s="287"/>
      <c r="J2" s="287"/>
      <c r="K2" s="288"/>
      <c r="L2" s="271"/>
      <c r="M2" s="287"/>
      <c r="N2" s="287"/>
      <c r="O2" s="287"/>
    </row>
    <row r="3" spans="1:16" s="161" customFormat="1" ht="26.25" customHeight="1" x14ac:dyDescent="0.25">
      <c r="A3" s="269"/>
      <c r="B3" s="269"/>
      <c r="C3" s="269"/>
      <c r="D3" s="289"/>
      <c r="E3" s="290"/>
      <c r="F3" s="290"/>
      <c r="G3" s="290"/>
      <c r="H3" s="290"/>
      <c r="I3" s="290"/>
      <c r="J3" s="290"/>
      <c r="K3" s="291"/>
      <c r="L3" s="289"/>
      <c r="M3" s="290"/>
      <c r="N3" s="290"/>
      <c r="O3" s="290"/>
    </row>
    <row r="4" spans="1:16" s="161" customFormat="1" ht="22.5" customHeight="1" x14ac:dyDescent="0.25">
      <c r="A4" s="283"/>
      <c r="B4" s="283"/>
      <c r="C4" s="283"/>
      <c r="D4" s="283"/>
      <c r="E4" s="283"/>
      <c r="F4" s="283"/>
      <c r="G4" s="283"/>
      <c r="H4" s="283"/>
      <c r="I4" s="283"/>
      <c r="J4" s="283"/>
      <c r="K4" s="65"/>
      <c r="N4" s="230">
        <f>+SUM(Tabla79[Precio (antes de IVA)])</f>
        <v>31660000</v>
      </c>
    </row>
    <row r="5" spans="1:16" s="54" customFormat="1" ht="57" customHeight="1" x14ac:dyDescent="0.25">
      <c r="A5" s="213" t="s">
        <v>184</v>
      </c>
      <c r="B5" s="214" t="s">
        <v>926</v>
      </c>
      <c r="C5" s="214" t="s">
        <v>1124</v>
      </c>
      <c r="D5" s="214" t="s">
        <v>1125</v>
      </c>
      <c r="E5" s="214" t="s">
        <v>1126</v>
      </c>
      <c r="F5" s="214" t="s">
        <v>1127</v>
      </c>
      <c r="G5" s="214" t="s">
        <v>1128</v>
      </c>
      <c r="H5" s="214" t="s">
        <v>1129</v>
      </c>
      <c r="I5" s="214" t="s">
        <v>1130</v>
      </c>
      <c r="J5" s="214" t="s">
        <v>1131</v>
      </c>
      <c r="K5" s="215" t="s">
        <v>1090</v>
      </c>
      <c r="L5" s="214" t="s">
        <v>1132</v>
      </c>
      <c r="M5" s="214" t="s">
        <v>1133</v>
      </c>
      <c r="N5" s="214" t="s">
        <v>1134</v>
      </c>
      <c r="O5" s="214" t="s">
        <v>204</v>
      </c>
      <c r="P5" s="225"/>
    </row>
    <row r="6" spans="1:16" ht="31.5" x14ac:dyDescent="0.25">
      <c r="A6" s="216">
        <v>1</v>
      </c>
      <c r="B6" s="162" t="s">
        <v>432</v>
      </c>
      <c r="C6" s="163">
        <v>45785</v>
      </c>
      <c r="D6" s="163" t="s">
        <v>165</v>
      </c>
      <c r="E6" s="164" t="s">
        <v>159</v>
      </c>
      <c r="F6" s="164" t="s">
        <v>1135</v>
      </c>
      <c r="G6" s="164">
        <v>14695</v>
      </c>
      <c r="H6" s="165">
        <v>0.32075999999999999</v>
      </c>
      <c r="I6" s="168" t="s">
        <v>1136</v>
      </c>
      <c r="J6" s="166">
        <f t="shared" ref="J6:J37" si="0">IF(C6="", "", DATE(YEAR(C6), MONTH(C6)+5, DAY(C6)))</f>
        <v>45938</v>
      </c>
      <c r="K6" s="220" t="s">
        <v>1137</v>
      </c>
      <c r="L6" s="225"/>
      <c r="M6" s="225"/>
      <c r="N6" s="227">
        <v>6200000</v>
      </c>
      <c r="O6" s="225" t="s">
        <v>1138</v>
      </c>
      <c r="P6" s="224"/>
    </row>
    <row r="7" spans="1:16" ht="31.5" x14ac:dyDescent="0.25">
      <c r="A7" s="216">
        <v>2</v>
      </c>
      <c r="B7" s="162" t="s">
        <v>1139</v>
      </c>
      <c r="C7" s="163">
        <v>45784</v>
      </c>
      <c r="D7" s="163" t="s">
        <v>1140</v>
      </c>
      <c r="E7" s="164" t="s">
        <v>151</v>
      </c>
      <c r="F7" s="164" t="s">
        <v>1141</v>
      </c>
      <c r="G7" s="164" t="s">
        <v>1142</v>
      </c>
      <c r="H7" s="167">
        <v>0.34799999999999998</v>
      </c>
      <c r="I7" s="168" t="s">
        <v>1143</v>
      </c>
      <c r="J7" s="166">
        <f t="shared" si="0"/>
        <v>45937</v>
      </c>
      <c r="K7" s="220" t="s">
        <v>1137</v>
      </c>
      <c r="L7" s="224" t="s">
        <v>1144</v>
      </c>
      <c r="M7" s="224" t="s">
        <v>1145</v>
      </c>
      <c r="N7" s="228">
        <v>3200000</v>
      </c>
      <c r="O7" s="224"/>
      <c r="P7" s="224"/>
    </row>
    <row r="8" spans="1:16" ht="47.25" x14ac:dyDescent="0.25">
      <c r="A8" s="216">
        <v>3</v>
      </c>
      <c r="B8" s="162" t="s">
        <v>505</v>
      </c>
      <c r="C8" s="163">
        <v>45784</v>
      </c>
      <c r="D8" s="163" t="s">
        <v>1140</v>
      </c>
      <c r="E8" s="164" t="s">
        <v>151</v>
      </c>
      <c r="F8" s="164" t="s">
        <v>1141</v>
      </c>
      <c r="G8" s="164" t="s">
        <v>1146</v>
      </c>
      <c r="H8" s="167">
        <v>0.38430999999999998</v>
      </c>
      <c r="I8" s="168" t="s">
        <v>1147</v>
      </c>
      <c r="J8" s="166">
        <f t="shared" si="0"/>
        <v>45937</v>
      </c>
      <c r="K8" s="220" t="s">
        <v>1148</v>
      </c>
      <c r="L8" s="224" t="s">
        <v>1149</v>
      </c>
      <c r="M8" s="224" t="s">
        <v>1150</v>
      </c>
      <c r="N8" s="228">
        <v>3200000</v>
      </c>
      <c r="O8" s="224"/>
      <c r="P8" s="224"/>
    </row>
    <row r="9" spans="1:16" ht="31.5" x14ac:dyDescent="0.25">
      <c r="A9" s="216">
        <v>4</v>
      </c>
      <c r="B9" s="162" t="s">
        <v>367</v>
      </c>
      <c r="C9" s="163">
        <v>45743</v>
      </c>
      <c r="D9" s="163" t="s">
        <v>166</v>
      </c>
      <c r="E9" s="164" t="s">
        <v>156</v>
      </c>
      <c r="F9" s="164" t="s">
        <v>1151</v>
      </c>
      <c r="G9" s="164" t="s">
        <v>1152</v>
      </c>
      <c r="H9" s="167">
        <v>0.35899999999999999</v>
      </c>
      <c r="I9" s="168" t="s">
        <v>1143</v>
      </c>
      <c r="J9" s="166">
        <f t="shared" si="0"/>
        <v>45896</v>
      </c>
      <c r="K9" s="220"/>
      <c r="L9" s="224"/>
      <c r="M9" s="224"/>
      <c r="N9" s="228"/>
      <c r="O9" s="224" t="s">
        <v>1153</v>
      </c>
      <c r="P9" s="224"/>
    </row>
    <row r="10" spans="1:16" ht="31.5" x14ac:dyDescent="0.25">
      <c r="A10" s="216">
        <v>5</v>
      </c>
      <c r="B10" s="162" t="s">
        <v>506</v>
      </c>
      <c r="C10" s="163">
        <v>45817</v>
      </c>
      <c r="D10" s="163" t="s">
        <v>1140</v>
      </c>
      <c r="E10" s="164" t="s">
        <v>151</v>
      </c>
      <c r="F10" s="164" t="s">
        <v>1141</v>
      </c>
      <c r="G10" s="164" t="s">
        <v>1146</v>
      </c>
      <c r="H10" s="167">
        <v>0.1802</v>
      </c>
      <c r="I10" s="168" t="s">
        <v>1154</v>
      </c>
      <c r="J10" s="166">
        <f t="shared" si="0"/>
        <v>45970</v>
      </c>
      <c r="K10" s="220" t="s">
        <v>1137</v>
      </c>
      <c r="L10" s="224"/>
      <c r="M10" s="224"/>
      <c r="N10" s="228">
        <v>3200000</v>
      </c>
      <c r="O10" s="224"/>
      <c r="P10" s="224"/>
    </row>
    <row r="11" spans="1:16" ht="15.75" x14ac:dyDescent="0.25">
      <c r="A11" s="216">
        <v>6</v>
      </c>
      <c r="B11" s="162" t="s">
        <v>571</v>
      </c>
      <c r="C11" s="163"/>
      <c r="D11" s="163" t="s">
        <v>165</v>
      </c>
      <c r="E11" s="164" t="s">
        <v>158</v>
      </c>
      <c r="F11" s="164" t="s">
        <v>1155</v>
      </c>
      <c r="G11" s="164" t="s">
        <v>1156</v>
      </c>
      <c r="H11" s="167"/>
      <c r="I11" s="164"/>
      <c r="J11" s="166" t="str">
        <f t="shared" si="0"/>
        <v/>
      </c>
      <c r="K11" s="220" t="s">
        <v>1137</v>
      </c>
      <c r="L11" s="224"/>
      <c r="M11" s="224"/>
      <c r="N11" s="228"/>
      <c r="O11" s="224"/>
      <c r="P11" s="224"/>
    </row>
    <row r="12" spans="1:16" ht="15.75" x14ac:dyDescent="0.25">
      <c r="A12" s="216">
        <v>7</v>
      </c>
      <c r="B12" s="162" t="s">
        <v>1157</v>
      </c>
      <c r="C12" s="163"/>
      <c r="D12" s="163" t="s">
        <v>1140</v>
      </c>
      <c r="E12" s="164" t="s">
        <v>151</v>
      </c>
      <c r="F12" s="164"/>
      <c r="G12" s="164"/>
      <c r="H12" s="167"/>
      <c r="I12" s="164"/>
      <c r="J12" s="166" t="str">
        <f t="shared" si="0"/>
        <v/>
      </c>
      <c r="K12" s="220" t="s">
        <v>1148</v>
      </c>
      <c r="L12" s="224" t="s">
        <v>1158</v>
      </c>
      <c r="M12" s="224" t="s">
        <v>1159</v>
      </c>
      <c r="N12" s="228">
        <v>3200000</v>
      </c>
      <c r="O12" s="224"/>
      <c r="P12" s="224"/>
    </row>
    <row r="13" spans="1:16" ht="15.75" x14ac:dyDescent="0.25">
      <c r="A13" s="216">
        <v>8</v>
      </c>
      <c r="B13" s="162" t="s">
        <v>1160</v>
      </c>
      <c r="C13" s="163"/>
      <c r="D13" s="163" t="s">
        <v>1140</v>
      </c>
      <c r="E13" s="164" t="s">
        <v>151</v>
      </c>
      <c r="F13" s="164"/>
      <c r="G13" s="164"/>
      <c r="H13" s="167"/>
      <c r="I13" s="164"/>
      <c r="J13" s="166" t="str">
        <f t="shared" si="0"/>
        <v/>
      </c>
      <c r="K13" s="220" t="s">
        <v>1148</v>
      </c>
      <c r="L13" s="224" t="s">
        <v>1161</v>
      </c>
      <c r="M13" s="224" t="s">
        <v>1162</v>
      </c>
      <c r="N13" s="228">
        <v>3200000</v>
      </c>
      <c r="O13" s="224"/>
      <c r="P13" s="224"/>
    </row>
    <row r="14" spans="1:16" ht="15.75" x14ac:dyDescent="0.25">
      <c r="A14" s="216">
        <v>9</v>
      </c>
      <c r="B14" s="162" t="s">
        <v>1163</v>
      </c>
      <c r="C14" s="163"/>
      <c r="D14" s="163" t="s">
        <v>1140</v>
      </c>
      <c r="E14" s="164" t="s">
        <v>1164</v>
      </c>
      <c r="F14" s="164"/>
      <c r="G14" s="164"/>
      <c r="H14" s="167"/>
      <c r="I14" s="164"/>
      <c r="J14" s="166" t="str">
        <f>IF(C14="", "", DATE(YEAR(C14), MONTH(C14)+5, DAY(C14)))</f>
        <v/>
      </c>
      <c r="K14" s="220" t="s">
        <v>1137</v>
      </c>
      <c r="L14" s="224" t="s">
        <v>1165</v>
      </c>
      <c r="M14" s="224" t="s">
        <v>1166</v>
      </c>
      <c r="N14" s="228">
        <v>2500000</v>
      </c>
      <c r="O14" s="224"/>
      <c r="P14" s="224"/>
    </row>
    <row r="15" spans="1:16" ht="15.75" x14ac:dyDescent="0.25">
      <c r="A15" s="216">
        <v>10</v>
      </c>
      <c r="B15" s="162" t="s">
        <v>1167</v>
      </c>
      <c r="C15" s="163"/>
      <c r="D15" s="163" t="s">
        <v>1140</v>
      </c>
      <c r="E15" s="164" t="s">
        <v>151</v>
      </c>
      <c r="F15" s="164"/>
      <c r="G15" s="164"/>
      <c r="H15" s="167"/>
      <c r="I15" s="164"/>
      <c r="J15" s="166" t="str">
        <f t="shared" si="0"/>
        <v/>
      </c>
      <c r="K15" s="220" t="s">
        <v>1137</v>
      </c>
      <c r="L15" s="224" t="s">
        <v>1168</v>
      </c>
      <c r="M15" s="224"/>
      <c r="N15" s="228">
        <v>1280000</v>
      </c>
      <c r="O15" s="224" t="s">
        <v>1169</v>
      </c>
      <c r="P15" s="224"/>
    </row>
    <row r="16" spans="1:16" ht="47.25" x14ac:dyDescent="0.25">
      <c r="A16" s="216">
        <v>11</v>
      </c>
      <c r="B16" s="162" t="s">
        <v>1170</v>
      </c>
      <c r="C16" s="163">
        <v>45822</v>
      </c>
      <c r="D16" s="163" t="s">
        <v>1140</v>
      </c>
      <c r="E16" s="164" t="s">
        <v>151</v>
      </c>
      <c r="F16" s="164" t="s">
        <v>1141</v>
      </c>
      <c r="G16" s="164" t="s">
        <v>1142</v>
      </c>
      <c r="H16" s="167"/>
      <c r="I16" s="168" t="s">
        <v>1171</v>
      </c>
      <c r="J16" s="166">
        <f>IF(C16="", "", DATE(YEAR(C16), MONTH(C16)+5, DAY(C16)))</f>
        <v>45975</v>
      </c>
      <c r="K16" s="220" t="s">
        <v>1137</v>
      </c>
      <c r="L16" s="224" t="s">
        <v>1172</v>
      </c>
      <c r="M16" s="224" t="s">
        <v>1173</v>
      </c>
      <c r="N16" s="228">
        <v>2880000</v>
      </c>
      <c r="O16" s="224" t="s">
        <v>1174</v>
      </c>
      <c r="P16" s="224"/>
    </row>
    <row r="17" spans="1:16" ht="31.5" x14ac:dyDescent="0.25">
      <c r="A17" s="216">
        <v>12</v>
      </c>
      <c r="B17" s="162" t="s">
        <v>1175</v>
      </c>
      <c r="C17" s="163">
        <v>45822</v>
      </c>
      <c r="D17" s="163" t="s">
        <v>1140</v>
      </c>
      <c r="E17" s="164" t="s">
        <v>161</v>
      </c>
      <c r="F17" s="164" t="s">
        <v>1176</v>
      </c>
      <c r="G17" s="164">
        <v>57503</v>
      </c>
      <c r="H17" s="231" t="s">
        <v>1177</v>
      </c>
      <c r="I17" s="168" t="s">
        <v>1143</v>
      </c>
      <c r="J17" s="166">
        <f t="shared" si="0"/>
        <v>45975</v>
      </c>
      <c r="K17" s="220" t="s">
        <v>1137</v>
      </c>
      <c r="L17" s="224" t="s">
        <v>1178</v>
      </c>
      <c r="M17" s="224" t="s">
        <v>1179</v>
      </c>
      <c r="N17" s="228">
        <v>2800000</v>
      </c>
      <c r="O17" s="224" t="s">
        <v>1174</v>
      </c>
      <c r="P17" s="224"/>
    </row>
    <row r="18" spans="1:16" ht="27" customHeight="1" x14ac:dyDescent="0.25">
      <c r="A18" s="216">
        <v>13</v>
      </c>
      <c r="B18" s="162" t="s">
        <v>507</v>
      </c>
      <c r="C18" s="163">
        <v>45824</v>
      </c>
      <c r="D18" s="163" t="s">
        <v>1140</v>
      </c>
      <c r="E18" s="164" t="s">
        <v>151</v>
      </c>
      <c r="F18" s="164" t="s">
        <v>1141</v>
      </c>
      <c r="G18" s="164" t="s">
        <v>1146</v>
      </c>
      <c r="H18" s="169"/>
      <c r="I18" s="164"/>
      <c r="J18" s="166">
        <f t="shared" si="0"/>
        <v>45977</v>
      </c>
      <c r="K18" s="220" t="s">
        <v>1137</v>
      </c>
      <c r="L18" s="224"/>
      <c r="M18" s="224" t="s">
        <v>1180</v>
      </c>
      <c r="N18" s="228"/>
      <c r="O18" s="224"/>
      <c r="P18" s="224"/>
    </row>
    <row r="19" spans="1:16" ht="31.5" x14ac:dyDescent="0.25">
      <c r="A19" s="216">
        <v>14</v>
      </c>
      <c r="B19" s="162" t="s">
        <v>1369</v>
      </c>
      <c r="C19" s="163">
        <v>45862</v>
      </c>
      <c r="D19" s="163" t="s">
        <v>1140</v>
      </c>
      <c r="E19" s="164" t="s">
        <v>161</v>
      </c>
      <c r="F19" s="164" t="s">
        <v>771</v>
      </c>
      <c r="G19" s="164" t="s">
        <v>1367</v>
      </c>
      <c r="H19" s="231" t="s">
        <v>1177</v>
      </c>
      <c r="I19" s="164"/>
      <c r="J19" s="166">
        <f t="shared" si="0"/>
        <v>46015</v>
      </c>
      <c r="K19" s="220"/>
      <c r="L19" s="224"/>
      <c r="M19" s="224"/>
      <c r="N19" s="228"/>
      <c r="O19" s="224"/>
      <c r="P19" s="224"/>
    </row>
    <row r="20" spans="1:16" ht="15.75" x14ac:dyDescent="0.25">
      <c r="A20" s="216">
        <v>15</v>
      </c>
      <c r="B20" s="162" t="s">
        <v>1368</v>
      </c>
      <c r="C20" s="163"/>
      <c r="D20" s="163" t="s">
        <v>1140</v>
      </c>
      <c r="E20" s="164" t="s">
        <v>159</v>
      </c>
      <c r="F20" s="164" t="s">
        <v>515</v>
      </c>
      <c r="G20" s="164">
        <v>14705</v>
      </c>
      <c r="H20" s="169"/>
      <c r="I20" s="164"/>
      <c r="J20" s="166" t="str">
        <f t="shared" si="0"/>
        <v/>
      </c>
      <c r="K20" s="220"/>
      <c r="L20" s="224"/>
      <c r="M20" s="224"/>
      <c r="N20" s="228"/>
      <c r="O20" s="224"/>
      <c r="P20" s="224"/>
    </row>
    <row r="21" spans="1:16" ht="15.75" x14ac:dyDescent="0.25">
      <c r="A21" s="216">
        <v>16</v>
      </c>
      <c r="B21" s="162" t="s">
        <v>727</v>
      </c>
      <c r="C21" s="163"/>
      <c r="D21" s="163" t="s">
        <v>1140</v>
      </c>
      <c r="E21" s="164" t="s">
        <v>159</v>
      </c>
      <c r="F21" s="164" t="s">
        <v>728</v>
      </c>
      <c r="G21" s="164">
        <v>14553</v>
      </c>
      <c r="H21" s="169"/>
      <c r="I21" s="164"/>
      <c r="J21" s="166" t="str">
        <f t="shared" si="0"/>
        <v/>
      </c>
      <c r="K21" s="220"/>
      <c r="L21" s="224"/>
      <c r="M21" s="224"/>
      <c r="N21" s="228"/>
      <c r="O21" s="224"/>
      <c r="P21" s="224"/>
    </row>
    <row r="22" spans="1:16" ht="15.75" x14ac:dyDescent="0.25">
      <c r="A22" s="216">
        <v>17</v>
      </c>
      <c r="B22" s="162"/>
      <c r="C22" s="163"/>
      <c r="D22" s="163"/>
      <c r="E22" s="164"/>
      <c r="F22" s="164"/>
      <c r="G22" s="164"/>
      <c r="H22" s="169"/>
      <c r="I22" s="164"/>
      <c r="J22" s="166" t="str">
        <f t="shared" si="0"/>
        <v/>
      </c>
      <c r="K22" s="220"/>
      <c r="L22" s="224"/>
      <c r="M22" s="224"/>
      <c r="N22" s="228"/>
      <c r="O22" s="224"/>
      <c r="P22" s="224"/>
    </row>
    <row r="23" spans="1:16" ht="15.75" x14ac:dyDescent="0.25">
      <c r="A23" s="216">
        <v>18</v>
      </c>
      <c r="B23" s="162"/>
      <c r="C23" s="163"/>
      <c r="D23" s="163"/>
      <c r="E23" s="164"/>
      <c r="F23" s="164"/>
      <c r="G23" s="164"/>
      <c r="H23" s="169"/>
      <c r="I23" s="164"/>
      <c r="J23" s="166" t="str">
        <f t="shared" si="0"/>
        <v/>
      </c>
      <c r="K23" s="220"/>
      <c r="L23" s="224"/>
      <c r="M23" s="224"/>
      <c r="N23" s="228"/>
      <c r="O23" s="224"/>
      <c r="P23" s="224"/>
    </row>
    <row r="24" spans="1:16" ht="15.75" x14ac:dyDescent="0.25">
      <c r="A24" s="216">
        <v>19</v>
      </c>
      <c r="B24" s="162"/>
      <c r="C24" s="163"/>
      <c r="D24" s="163"/>
      <c r="E24" s="164"/>
      <c r="F24" s="164"/>
      <c r="G24" s="164"/>
      <c r="H24" s="169"/>
      <c r="I24" s="164"/>
      <c r="J24" s="166" t="str">
        <f t="shared" si="0"/>
        <v/>
      </c>
      <c r="K24" s="220"/>
      <c r="L24" s="224"/>
      <c r="M24" s="224"/>
      <c r="N24" s="228"/>
      <c r="O24" s="224"/>
      <c r="P24" s="224"/>
    </row>
    <row r="25" spans="1:16" ht="15.75" x14ac:dyDescent="0.25">
      <c r="A25" s="216">
        <v>20</v>
      </c>
      <c r="B25" s="162"/>
      <c r="C25" s="163"/>
      <c r="D25" s="163"/>
      <c r="E25" s="164"/>
      <c r="F25" s="164"/>
      <c r="G25" s="164"/>
      <c r="H25" s="169"/>
      <c r="I25" s="164"/>
      <c r="J25" s="166" t="str">
        <f t="shared" si="0"/>
        <v/>
      </c>
      <c r="K25" s="220"/>
      <c r="L25" s="224"/>
      <c r="M25" s="224"/>
      <c r="N25" s="228"/>
      <c r="O25" s="224"/>
      <c r="P25" s="224"/>
    </row>
    <row r="26" spans="1:16" ht="15.75" x14ac:dyDescent="0.25">
      <c r="A26" s="216">
        <v>21</v>
      </c>
      <c r="B26" s="162"/>
      <c r="C26" s="163"/>
      <c r="D26" s="163"/>
      <c r="E26" s="164"/>
      <c r="F26" s="164"/>
      <c r="G26" s="164"/>
      <c r="H26" s="169"/>
      <c r="I26" s="164"/>
      <c r="J26" s="166" t="str">
        <f t="shared" si="0"/>
        <v/>
      </c>
      <c r="K26" s="220"/>
      <c r="L26" s="224"/>
      <c r="M26" s="224"/>
      <c r="N26" s="228"/>
      <c r="O26" s="224"/>
      <c r="P26" s="224"/>
    </row>
    <row r="27" spans="1:16" ht="15.75" x14ac:dyDescent="0.25">
      <c r="A27" s="216">
        <v>22</v>
      </c>
      <c r="B27" s="162"/>
      <c r="C27" s="163"/>
      <c r="D27" s="163"/>
      <c r="E27" s="164"/>
      <c r="F27" s="164"/>
      <c r="G27" s="164"/>
      <c r="H27" s="169"/>
      <c r="I27" s="164"/>
      <c r="J27" s="166" t="str">
        <f t="shared" si="0"/>
        <v/>
      </c>
      <c r="K27" s="220"/>
      <c r="L27" s="224"/>
      <c r="M27" s="224"/>
      <c r="N27" s="228"/>
      <c r="O27" s="224"/>
      <c r="P27" s="224"/>
    </row>
    <row r="28" spans="1:16" ht="15.75" x14ac:dyDescent="0.25">
      <c r="A28" s="216">
        <v>23</v>
      </c>
      <c r="B28" s="162"/>
      <c r="C28" s="163"/>
      <c r="D28" s="163"/>
      <c r="E28" s="164"/>
      <c r="F28" s="164"/>
      <c r="G28" s="164"/>
      <c r="H28" s="169"/>
      <c r="I28" s="164"/>
      <c r="J28" s="166" t="str">
        <f t="shared" si="0"/>
        <v/>
      </c>
      <c r="K28" s="220"/>
      <c r="L28" s="224"/>
      <c r="M28" s="224"/>
      <c r="N28" s="228"/>
      <c r="O28" s="224"/>
      <c r="P28" s="224"/>
    </row>
    <row r="29" spans="1:16" ht="15.75" x14ac:dyDescent="0.25">
      <c r="A29" s="216">
        <v>24</v>
      </c>
      <c r="B29" s="162"/>
      <c r="C29" s="163"/>
      <c r="D29" s="163"/>
      <c r="E29" s="164"/>
      <c r="F29" s="164"/>
      <c r="G29" s="164"/>
      <c r="H29" s="169"/>
      <c r="I29" s="164"/>
      <c r="J29" s="166" t="str">
        <f t="shared" si="0"/>
        <v/>
      </c>
      <c r="K29" s="220"/>
      <c r="L29" s="224"/>
      <c r="M29" s="224"/>
      <c r="N29" s="228"/>
      <c r="O29" s="224"/>
      <c r="P29" s="224"/>
    </row>
    <row r="30" spans="1:16" ht="15.75" x14ac:dyDescent="0.25">
      <c r="A30" s="216">
        <v>25</v>
      </c>
      <c r="B30" s="162"/>
      <c r="C30" s="163"/>
      <c r="D30" s="163"/>
      <c r="E30" s="164"/>
      <c r="F30" s="164"/>
      <c r="G30" s="164"/>
      <c r="H30" s="169"/>
      <c r="I30" s="164"/>
      <c r="J30" s="166" t="str">
        <f t="shared" si="0"/>
        <v/>
      </c>
      <c r="K30" s="220"/>
      <c r="L30" s="224"/>
      <c r="M30" s="224"/>
      <c r="N30" s="228"/>
      <c r="O30" s="224"/>
      <c r="P30" s="224"/>
    </row>
    <row r="31" spans="1:16" ht="15.75" x14ac:dyDescent="0.25">
      <c r="A31" s="216">
        <v>26</v>
      </c>
      <c r="B31" s="162"/>
      <c r="C31" s="163"/>
      <c r="D31" s="163"/>
      <c r="E31" s="164"/>
      <c r="F31" s="164"/>
      <c r="G31" s="164"/>
      <c r="H31" s="169"/>
      <c r="I31" s="164"/>
      <c r="J31" s="166" t="str">
        <f t="shared" si="0"/>
        <v/>
      </c>
      <c r="K31" s="220"/>
      <c r="L31" s="224"/>
      <c r="M31" s="224"/>
      <c r="N31" s="228"/>
      <c r="O31" s="224"/>
      <c r="P31" s="224"/>
    </row>
    <row r="32" spans="1:16" ht="15.75" x14ac:dyDescent="0.25">
      <c r="A32" s="216">
        <v>27</v>
      </c>
      <c r="B32" s="162"/>
      <c r="C32" s="163"/>
      <c r="D32" s="163"/>
      <c r="E32" s="164"/>
      <c r="F32" s="164"/>
      <c r="G32" s="164"/>
      <c r="H32" s="169"/>
      <c r="I32" s="164"/>
      <c r="J32" s="166" t="str">
        <f t="shared" si="0"/>
        <v/>
      </c>
      <c r="K32" s="220"/>
      <c r="L32" s="224"/>
      <c r="M32" s="224"/>
      <c r="N32" s="228"/>
      <c r="O32" s="224"/>
      <c r="P32" s="224"/>
    </row>
    <row r="33" spans="1:16" ht="15.75" x14ac:dyDescent="0.25">
      <c r="A33" s="216">
        <v>28</v>
      </c>
      <c r="B33" s="162"/>
      <c r="C33" s="163"/>
      <c r="D33" s="163"/>
      <c r="E33" s="164"/>
      <c r="F33" s="164"/>
      <c r="G33" s="164"/>
      <c r="H33" s="169"/>
      <c r="I33" s="164"/>
      <c r="J33" s="166" t="str">
        <f t="shared" si="0"/>
        <v/>
      </c>
      <c r="K33" s="220"/>
      <c r="L33" s="224"/>
      <c r="M33" s="224"/>
      <c r="N33" s="228"/>
      <c r="O33" s="224"/>
      <c r="P33" s="224"/>
    </row>
    <row r="34" spans="1:16" ht="15.75" x14ac:dyDescent="0.25">
      <c r="A34" s="216">
        <v>29</v>
      </c>
      <c r="B34" s="162"/>
      <c r="C34" s="163"/>
      <c r="D34" s="163"/>
      <c r="E34" s="164"/>
      <c r="F34" s="164"/>
      <c r="G34" s="164"/>
      <c r="H34" s="169"/>
      <c r="I34" s="164"/>
      <c r="J34" s="166" t="str">
        <f t="shared" si="0"/>
        <v/>
      </c>
      <c r="K34" s="220"/>
      <c r="L34" s="224"/>
      <c r="M34" s="224"/>
      <c r="N34" s="228"/>
      <c r="O34" s="224"/>
      <c r="P34" s="224"/>
    </row>
    <row r="35" spans="1:16" ht="15.75" x14ac:dyDescent="0.25">
      <c r="A35" s="216">
        <v>30</v>
      </c>
      <c r="B35" s="162"/>
      <c r="C35" s="164"/>
      <c r="D35" s="164"/>
      <c r="E35" s="164"/>
      <c r="F35" s="164"/>
      <c r="G35" s="164"/>
      <c r="H35" s="169"/>
      <c r="I35" s="164"/>
      <c r="J35" s="166" t="str">
        <f t="shared" si="0"/>
        <v/>
      </c>
      <c r="K35" s="220"/>
      <c r="L35" s="224"/>
      <c r="M35" s="224"/>
      <c r="N35" s="228"/>
      <c r="O35" s="224"/>
      <c r="P35" s="224"/>
    </row>
    <row r="36" spans="1:16" ht="15.75" x14ac:dyDescent="0.25">
      <c r="A36" s="216">
        <v>31</v>
      </c>
      <c r="B36" s="162"/>
      <c r="C36" s="164"/>
      <c r="D36" s="164"/>
      <c r="E36" s="164"/>
      <c r="F36" s="164"/>
      <c r="G36" s="164"/>
      <c r="H36" s="169"/>
      <c r="I36" s="164"/>
      <c r="J36" s="166" t="str">
        <f t="shared" si="0"/>
        <v/>
      </c>
      <c r="K36" s="220"/>
      <c r="L36" s="224"/>
      <c r="M36" s="224"/>
      <c r="N36" s="228"/>
      <c r="O36" s="224"/>
      <c r="P36" s="224"/>
    </row>
    <row r="37" spans="1:16" ht="15.75" x14ac:dyDescent="0.25">
      <c r="A37" s="216">
        <v>32</v>
      </c>
      <c r="B37" s="162"/>
      <c r="C37" s="164"/>
      <c r="D37" s="164"/>
      <c r="E37" s="164"/>
      <c r="F37" s="164"/>
      <c r="G37" s="164"/>
      <c r="H37" s="169"/>
      <c r="I37" s="164"/>
      <c r="J37" s="166" t="str">
        <f t="shared" si="0"/>
        <v/>
      </c>
      <c r="K37" s="220"/>
      <c r="L37" s="224"/>
      <c r="M37" s="224"/>
      <c r="N37" s="228"/>
      <c r="O37" s="224"/>
      <c r="P37" s="224"/>
    </row>
    <row r="38" spans="1:16" ht="15.75" x14ac:dyDescent="0.25">
      <c r="A38" s="216">
        <v>33</v>
      </c>
      <c r="B38" s="162"/>
      <c r="C38" s="164"/>
      <c r="D38" s="164"/>
      <c r="E38" s="164"/>
      <c r="F38" s="164"/>
      <c r="G38" s="164"/>
      <c r="H38" s="169"/>
      <c r="I38" s="164"/>
      <c r="J38" s="166" t="str">
        <f t="shared" ref="J38:J71" si="1">IF(C38="", "", DATE(YEAR(C38), MONTH(C38)+5, DAY(C38)))</f>
        <v/>
      </c>
      <c r="K38" s="220"/>
      <c r="L38" s="224"/>
      <c r="M38" s="224"/>
      <c r="N38" s="228"/>
      <c r="O38" s="224"/>
      <c r="P38" s="224"/>
    </row>
    <row r="39" spans="1:16" ht="15.75" x14ac:dyDescent="0.25">
      <c r="A39" s="216">
        <v>34</v>
      </c>
      <c r="B39" s="162"/>
      <c r="C39" s="164"/>
      <c r="D39" s="164"/>
      <c r="E39" s="164"/>
      <c r="F39" s="164"/>
      <c r="G39" s="164"/>
      <c r="H39" s="169"/>
      <c r="I39" s="164"/>
      <c r="J39" s="166" t="str">
        <f t="shared" si="1"/>
        <v/>
      </c>
      <c r="K39" s="220"/>
      <c r="L39" s="224"/>
      <c r="M39" s="224"/>
      <c r="N39" s="228"/>
      <c r="O39" s="224"/>
      <c r="P39" s="224"/>
    </row>
    <row r="40" spans="1:16" ht="15.75" x14ac:dyDescent="0.25">
      <c r="A40" s="216">
        <v>35</v>
      </c>
      <c r="B40" s="162"/>
      <c r="C40" s="164"/>
      <c r="D40" s="164"/>
      <c r="E40" s="164"/>
      <c r="F40" s="164"/>
      <c r="G40" s="164"/>
      <c r="H40" s="169"/>
      <c r="I40" s="164"/>
      <c r="J40" s="166" t="str">
        <f t="shared" si="1"/>
        <v/>
      </c>
      <c r="K40" s="220"/>
      <c r="L40" s="224"/>
      <c r="M40" s="224"/>
      <c r="N40" s="228"/>
      <c r="O40" s="224"/>
      <c r="P40" s="224"/>
    </row>
    <row r="41" spans="1:16" ht="15.75" x14ac:dyDescent="0.25">
      <c r="A41" s="216">
        <v>36</v>
      </c>
      <c r="B41" s="162"/>
      <c r="C41" s="164"/>
      <c r="D41" s="164"/>
      <c r="E41" s="164"/>
      <c r="F41" s="164"/>
      <c r="G41" s="164"/>
      <c r="H41" s="169"/>
      <c r="I41" s="164"/>
      <c r="J41" s="166" t="str">
        <f t="shared" si="1"/>
        <v/>
      </c>
      <c r="K41" s="220"/>
      <c r="L41" s="224"/>
      <c r="M41" s="224"/>
      <c r="N41" s="228"/>
      <c r="O41" s="224"/>
      <c r="P41" s="224"/>
    </row>
    <row r="42" spans="1:16" ht="15.75" x14ac:dyDescent="0.25">
      <c r="A42" s="216">
        <v>37</v>
      </c>
      <c r="B42" s="162"/>
      <c r="C42" s="164"/>
      <c r="D42" s="164"/>
      <c r="E42" s="164"/>
      <c r="F42" s="164"/>
      <c r="G42" s="164"/>
      <c r="H42" s="169"/>
      <c r="I42" s="164"/>
      <c r="J42" s="166" t="str">
        <f t="shared" si="1"/>
        <v/>
      </c>
      <c r="K42" s="220"/>
      <c r="L42" s="224"/>
      <c r="M42" s="224"/>
      <c r="N42" s="228"/>
      <c r="O42" s="224"/>
      <c r="P42" s="224"/>
    </row>
    <row r="43" spans="1:16" ht="15.75" x14ac:dyDescent="0.25">
      <c r="A43" s="216">
        <v>38</v>
      </c>
      <c r="B43" s="162"/>
      <c r="C43" s="164"/>
      <c r="D43" s="164"/>
      <c r="E43" s="164"/>
      <c r="F43" s="164"/>
      <c r="G43" s="164"/>
      <c r="H43" s="169"/>
      <c r="I43" s="164"/>
      <c r="J43" s="166" t="str">
        <f t="shared" si="1"/>
        <v/>
      </c>
      <c r="K43" s="220"/>
      <c r="L43" s="224"/>
      <c r="M43" s="224"/>
      <c r="N43" s="228"/>
      <c r="O43" s="224"/>
      <c r="P43" s="224"/>
    </row>
    <row r="44" spans="1:16" ht="15.75" x14ac:dyDescent="0.25">
      <c r="A44" s="216">
        <v>39</v>
      </c>
      <c r="B44" s="162"/>
      <c r="C44" s="164"/>
      <c r="D44" s="164"/>
      <c r="E44" s="164"/>
      <c r="F44" s="164"/>
      <c r="G44" s="164"/>
      <c r="H44" s="169"/>
      <c r="I44" s="164"/>
      <c r="J44" s="166" t="str">
        <f t="shared" si="1"/>
        <v/>
      </c>
      <c r="K44" s="220"/>
      <c r="L44" s="224"/>
      <c r="M44" s="224"/>
      <c r="N44" s="228"/>
      <c r="O44" s="224"/>
      <c r="P44" s="224"/>
    </row>
    <row r="45" spans="1:16" ht="15.75" x14ac:dyDescent="0.25">
      <c r="A45" s="216">
        <v>40</v>
      </c>
      <c r="B45" s="162"/>
      <c r="C45" s="164"/>
      <c r="D45" s="164"/>
      <c r="E45" s="164"/>
      <c r="F45" s="164"/>
      <c r="G45" s="164"/>
      <c r="H45" s="169"/>
      <c r="I45" s="164"/>
      <c r="J45" s="166" t="str">
        <f t="shared" si="1"/>
        <v/>
      </c>
      <c r="K45" s="220"/>
      <c r="L45" s="224"/>
      <c r="M45" s="224"/>
      <c r="N45" s="228"/>
      <c r="O45" s="224"/>
      <c r="P45" s="224"/>
    </row>
    <row r="46" spans="1:16" ht="15.75" x14ac:dyDescent="0.25">
      <c r="A46" s="216">
        <v>41</v>
      </c>
      <c r="B46" s="162"/>
      <c r="C46" s="164"/>
      <c r="D46" s="164"/>
      <c r="E46" s="164"/>
      <c r="F46" s="164"/>
      <c r="G46" s="164"/>
      <c r="H46" s="169"/>
      <c r="I46" s="164"/>
      <c r="J46" s="166" t="str">
        <f t="shared" si="1"/>
        <v/>
      </c>
      <c r="K46" s="220"/>
      <c r="L46" s="224"/>
      <c r="M46" s="224"/>
      <c r="N46" s="228"/>
      <c r="O46" s="224"/>
      <c r="P46" s="224"/>
    </row>
    <row r="47" spans="1:16" ht="15.75" x14ac:dyDescent="0.25">
      <c r="A47" s="216">
        <v>42</v>
      </c>
      <c r="B47" s="162"/>
      <c r="C47" s="164"/>
      <c r="D47" s="164"/>
      <c r="E47" s="164"/>
      <c r="F47" s="164"/>
      <c r="G47" s="164"/>
      <c r="H47" s="169"/>
      <c r="I47" s="164"/>
      <c r="J47" s="166" t="str">
        <f t="shared" si="1"/>
        <v/>
      </c>
      <c r="K47" s="220"/>
      <c r="L47" s="224"/>
      <c r="M47" s="224"/>
      <c r="N47" s="228"/>
      <c r="O47" s="224"/>
      <c r="P47" s="224"/>
    </row>
    <row r="48" spans="1:16" ht="15.75" x14ac:dyDescent="0.25">
      <c r="A48" s="216">
        <v>43</v>
      </c>
      <c r="B48" s="162"/>
      <c r="C48" s="164"/>
      <c r="D48" s="164"/>
      <c r="E48" s="164"/>
      <c r="F48" s="164"/>
      <c r="G48" s="164"/>
      <c r="H48" s="169"/>
      <c r="I48" s="164"/>
      <c r="J48" s="166" t="str">
        <f t="shared" si="1"/>
        <v/>
      </c>
      <c r="K48" s="220"/>
      <c r="L48" s="224"/>
      <c r="M48" s="224"/>
      <c r="N48" s="228"/>
      <c r="O48" s="224"/>
      <c r="P48" s="224"/>
    </row>
    <row r="49" spans="1:16" ht="15.75" x14ac:dyDescent="0.25">
      <c r="A49" s="216">
        <v>44</v>
      </c>
      <c r="B49" s="162"/>
      <c r="C49" s="164"/>
      <c r="D49" s="164"/>
      <c r="E49" s="164"/>
      <c r="F49" s="164"/>
      <c r="G49" s="164"/>
      <c r="H49" s="169"/>
      <c r="I49" s="164"/>
      <c r="J49" s="166" t="str">
        <f t="shared" si="1"/>
        <v/>
      </c>
      <c r="K49" s="220"/>
      <c r="L49" s="224"/>
      <c r="M49" s="224"/>
      <c r="N49" s="228"/>
      <c r="O49" s="224"/>
      <c r="P49" s="224"/>
    </row>
    <row r="50" spans="1:16" ht="15.75" x14ac:dyDescent="0.25">
      <c r="A50" s="216">
        <v>45</v>
      </c>
      <c r="B50" s="162"/>
      <c r="C50" s="164"/>
      <c r="D50" s="164"/>
      <c r="E50" s="164"/>
      <c r="F50" s="164"/>
      <c r="G50" s="164"/>
      <c r="H50" s="169"/>
      <c r="I50" s="164"/>
      <c r="J50" s="166" t="str">
        <f t="shared" si="1"/>
        <v/>
      </c>
      <c r="K50" s="220"/>
      <c r="L50" s="224"/>
      <c r="M50" s="224"/>
      <c r="N50" s="228"/>
      <c r="O50" s="224"/>
      <c r="P50" s="224"/>
    </row>
    <row r="51" spans="1:16" ht="15.75" x14ac:dyDescent="0.25">
      <c r="A51" s="216">
        <v>46</v>
      </c>
      <c r="B51" s="162"/>
      <c r="C51" s="164"/>
      <c r="D51" s="164"/>
      <c r="E51" s="164"/>
      <c r="F51" s="164"/>
      <c r="G51" s="164"/>
      <c r="H51" s="169"/>
      <c r="I51" s="164"/>
      <c r="J51" s="166" t="str">
        <f t="shared" si="1"/>
        <v/>
      </c>
      <c r="K51" s="220"/>
      <c r="L51" s="224"/>
      <c r="M51" s="224"/>
      <c r="N51" s="228"/>
      <c r="O51" s="224"/>
      <c r="P51" s="224"/>
    </row>
    <row r="52" spans="1:16" ht="15.75" x14ac:dyDescent="0.25">
      <c r="A52" s="216">
        <v>47</v>
      </c>
      <c r="B52" s="162"/>
      <c r="C52" s="164"/>
      <c r="D52" s="164"/>
      <c r="E52" s="164"/>
      <c r="F52" s="164"/>
      <c r="G52" s="164"/>
      <c r="H52" s="169"/>
      <c r="I52" s="164"/>
      <c r="J52" s="166" t="str">
        <f t="shared" si="1"/>
        <v/>
      </c>
      <c r="K52" s="220"/>
      <c r="L52" s="224"/>
      <c r="M52" s="224"/>
      <c r="N52" s="228"/>
      <c r="O52" s="224"/>
      <c r="P52" s="224"/>
    </row>
    <row r="53" spans="1:16" ht="15.75" x14ac:dyDescent="0.25">
      <c r="A53" s="216">
        <v>48</v>
      </c>
      <c r="B53" s="162"/>
      <c r="C53" s="164"/>
      <c r="D53" s="164"/>
      <c r="E53" s="164"/>
      <c r="F53" s="164"/>
      <c r="G53" s="164"/>
      <c r="H53" s="169"/>
      <c r="I53" s="164"/>
      <c r="J53" s="166" t="str">
        <f t="shared" si="1"/>
        <v/>
      </c>
      <c r="K53" s="220"/>
      <c r="L53" s="224"/>
      <c r="M53" s="224"/>
      <c r="N53" s="228"/>
      <c r="O53" s="224"/>
      <c r="P53" s="224"/>
    </row>
    <row r="54" spans="1:16" ht="15.75" x14ac:dyDescent="0.25">
      <c r="A54" s="216">
        <v>49</v>
      </c>
      <c r="B54" s="162"/>
      <c r="C54" s="164"/>
      <c r="D54" s="164"/>
      <c r="E54" s="164"/>
      <c r="F54" s="164"/>
      <c r="G54" s="164"/>
      <c r="H54" s="169"/>
      <c r="I54" s="164"/>
      <c r="J54" s="166" t="str">
        <f t="shared" si="1"/>
        <v/>
      </c>
      <c r="K54" s="220"/>
      <c r="L54" s="224"/>
      <c r="M54" s="224"/>
      <c r="N54" s="228"/>
      <c r="O54" s="224"/>
      <c r="P54" s="224"/>
    </row>
    <row r="55" spans="1:16" ht="15.75" x14ac:dyDescent="0.25">
      <c r="A55" s="216">
        <v>50</v>
      </c>
      <c r="B55" s="162"/>
      <c r="C55" s="164"/>
      <c r="D55" s="164"/>
      <c r="E55" s="164"/>
      <c r="F55" s="164"/>
      <c r="G55" s="164"/>
      <c r="H55" s="169"/>
      <c r="I55" s="164"/>
      <c r="J55" s="166" t="str">
        <f t="shared" si="1"/>
        <v/>
      </c>
      <c r="K55" s="220"/>
      <c r="L55" s="224"/>
      <c r="M55" s="224"/>
      <c r="N55" s="228"/>
      <c r="O55" s="224"/>
      <c r="P55" s="224"/>
    </row>
    <row r="56" spans="1:16" ht="15.75" x14ac:dyDescent="0.25">
      <c r="A56" s="216">
        <v>51</v>
      </c>
      <c r="B56" s="162"/>
      <c r="C56" s="164"/>
      <c r="D56" s="164"/>
      <c r="E56" s="164"/>
      <c r="F56" s="164"/>
      <c r="G56" s="164"/>
      <c r="H56" s="169"/>
      <c r="I56" s="164"/>
      <c r="J56" s="166" t="str">
        <f t="shared" si="1"/>
        <v/>
      </c>
      <c r="K56" s="220"/>
      <c r="L56" s="224"/>
      <c r="M56" s="224"/>
      <c r="N56" s="228"/>
      <c r="O56" s="224"/>
      <c r="P56" s="224"/>
    </row>
    <row r="57" spans="1:16" ht="15.75" x14ac:dyDescent="0.25">
      <c r="A57" s="216">
        <v>52</v>
      </c>
      <c r="B57" s="162"/>
      <c r="C57" s="164"/>
      <c r="D57" s="164"/>
      <c r="E57" s="164"/>
      <c r="F57" s="164"/>
      <c r="G57" s="164"/>
      <c r="H57" s="169"/>
      <c r="I57" s="164"/>
      <c r="J57" s="166" t="str">
        <f t="shared" si="1"/>
        <v/>
      </c>
      <c r="K57" s="220"/>
      <c r="L57" s="224"/>
      <c r="M57" s="224"/>
      <c r="N57" s="228"/>
      <c r="O57" s="224"/>
      <c r="P57" s="224"/>
    </row>
    <row r="58" spans="1:16" ht="15.75" x14ac:dyDescent="0.25">
      <c r="A58" s="216">
        <v>53</v>
      </c>
      <c r="B58" s="162"/>
      <c r="C58" s="164"/>
      <c r="D58" s="164"/>
      <c r="E58" s="164"/>
      <c r="F58" s="164"/>
      <c r="G58" s="164"/>
      <c r="H58" s="169"/>
      <c r="I58" s="164"/>
      <c r="J58" s="166" t="str">
        <f t="shared" si="1"/>
        <v/>
      </c>
      <c r="K58" s="220"/>
      <c r="L58" s="224"/>
      <c r="M58" s="224"/>
      <c r="N58" s="228"/>
      <c r="O58" s="224"/>
      <c r="P58" s="224"/>
    </row>
    <row r="59" spans="1:16" ht="15.75" x14ac:dyDescent="0.25">
      <c r="A59" s="216">
        <v>54</v>
      </c>
      <c r="B59" s="162"/>
      <c r="C59" s="164"/>
      <c r="D59" s="164"/>
      <c r="E59" s="164"/>
      <c r="F59" s="164"/>
      <c r="G59" s="164"/>
      <c r="H59" s="169"/>
      <c r="I59" s="164"/>
      <c r="J59" s="166" t="str">
        <f t="shared" si="1"/>
        <v/>
      </c>
      <c r="K59" s="220"/>
      <c r="L59" s="224"/>
      <c r="M59" s="224"/>
      <c r="N59" s="228"/>
      <c r="O59" s="224"/>
      <c r="P59" s="224"/>
    </row>
    <row r="60" spans="1:16" ht="15.75" x14ac:dyDescent="0.25">
      <c r="A60" s="216">
        <v>55</v>
      </c>
      <c r="B60" s="162"/>
      <c r="C60" s="164"/>
      <c r="D60" s="164"/>
      <c r="E60" s="164"/>
      <c r="F60" s="164"/>
      <c r="G60" s="164"/>
      <c r="H60" s="169"/>
      <c r="I60" s="164"/>
      <c r="J60" s="166" t="str">
        <f t="shared" si="1"/>
        <v/>
      </c>
      <c r="K60" s="220"/>
      <c r="L60" s="224"/>
      <c r="M60" s="224"/>
      <c r="N60" s="228"/>
      <c r="O60" s="224"/>
      <c r="P60" s="224"/>
    </row>
    <row r="61" spans="1:16" ht="15.75" x14ac:dyDescent="0.25">
      <c r="A61" s="216">
        <v>56</v>
      </c>
      <c r="B61" s="162"/>
      <c r="C61" s="164"/>
      <c r="D61" s="164"/>
      <c r="E61" s="164"/>
      <c r="F61" s="164"/>
      <c r="G61" s="164"/>
      <c r="H61" s="169"/>
      <c r="I61" s="164"/>
      <c r="J61" s="166" t="str">
        <f t="shared" si="1"/>
        <v/>
      </c>
      <c r="K61" s="220"/>
      <c r="L61" s="224"/>
      <c r="M61" s="224"/>
      <c r="N61" s="228"/>
      <c r="O61" s="224"/>
      <c r="P61" s="224"/>
    </row>
    <row r="62" spans="1:16" ht="15.75" x14ac:dyDescent="0.25">
      <c r="A62" s="216">
        <v>57</v>
      </c>
      <c r="B62" s="162"/>
      <c r="C62" s="164"/>
      <c r="D62" s="164"/>
      <c r="E62" s="164"/>
      <c r="F62" s="164"/>
      <c r="G62" s="164"/>
      <c r="H62" s="169"/>
      <c r="I62" s="164"/>
      <c r="J62" s="166" t="str">
        <f t="shared" si="1"/>
        <v/>
      </c>
      <c r="K62" s="220"/>
      <c r="L62" s="224"/>
      <c r="M62" s="224"/>
      <c r="N62" s="228"/>
      <c r="O62" s="224"/>
      <c r="P62" s="224"/>
    </row>
    <row r="63" spans="1:16" ht="15.75" x14ac:dyDescent="0.25">
      <c r="A63" s="216">
        <v>58</v>
      </c>
      <c r="B63" s="162"/>
      <c r="C63" s="164"/>
      <c r="D63" s="164"/>
      <c r="E63" s="164"/>
      <c r="F63" s="164"/>
      <c r="G63" s="164"/>
      <c r="H63" s="169"/>
      <c r="I63" s="164"/>
      <c r="J63" s="166" t="str">
        <f t="shared" si="1"/>
        <v/>
      </c>
      <c r="K63" s="220"/>
      <c r="L63" s="224"/>
      <c r="M63" s="224"/>
      <c r="N63" s="228"/>
      <c r="O63" s="224"/>
      <c r="P63" s="224"/>
    </row>
    <row r="64" spans="1:16" ht="15.75" x14ac:dyDescent="0.25">
      <c r="A64" s="216">
        <v>59</v>
      </c>
      <c r="B64" s="162"/>
      <c r="C64" s="164"/>
      <c r="D64" s="164"/>
      <c r="E64" s="164"/>
      <c r="F64" s="164"/>
      <c r="G64" s="164"/>
      <c r="H64" s="169"/>
      <c r="I64" s="164"/>
      <c r="J64" s="166" t="str">
        <f t="shared" si="1"/>
        <v/>
      </c>
      <c r="K64" s="220"/>
      <c r="L64" s="224"/>
      <c r="M64" s="224"/>
      <c r="N64" s="228"/>
      <c r="O64" s="224"/>
      <c r="P64" s="224"/>
    </row>
    <row r="65" spans="1:16" ht="15.75" x14ac:dyDescent="0.25">
      <c r="A65" s="216">
        <v>60</v>
      </c>
      <c r="B65" s="162"/>
      <c r="C65" s="164"/>
      <c r="D65" s="164"/>
      <c r="E65" s="164"/>
      <c r="F65" s="164"/>
      <c r="G65" s="164"/>
      <c r="H65" s="169"/>
      <c r="I65" s="164"/>
      <c r="J65" s="166" t="str">
        <f t="shared" si="1"/>
        <v/>
      </c>
      <c r="K65" s="220"/>
      <c r="L65" s="224"/>
      <c r="M65" s="224"/>
      <c r="N65" s="228"/>
      <c r="O65" s="224"/>
      <c r="P65" s="224"/>
    </row>
    <row r="66" spans="1:16" ht="15.75" x14ac:dyDescent="0.25">
      <c r="A66" s="216">
        <v>61</v>
      </c>
      <c r="B66" s="162"/>
      <c r="C66" s="164"/>
      <c r="D66" s="164"/>
      <c r="E66" s="164"/>
      <c r="F66" s="164"/>
      <c r="G66" s="164"/>
      <c r="H66" s="169"/>
      <c r="I66" s="164"/>
      <c r="J66" s="166" t="str">
        <f t="shared" si="1"/>
        <v/>
      </c>
      <c r="K66" s="220"/>
      <c r="L66" s="224"/>
      <c r="M66" s="224"/>
      <c r="N66" s="228"/>
      <c r="O66" s="224"/>
      <c r="P66" s="224"/>
    </row>
    <row r="67" spans="1:16" ht="15.75" x14ac:dyDescent="0.25">
      <c r="A67" s="216">
        <v>62</v>
      </c>
      <c r="B67" s="162"/>
      <c r="C67" s="164"/>
      <c r="D67" s="164"/>
      <c r="E67" s="164"/>
      <c r="F67" s="164"/>
      <c r="G67" s="164"/>
      <c r="H67" s="169"/>
      <c r="I67" s="164"/>
      <c r="J67" s="166" t="str">
        <f t="shared" si="1"/>
        <v/>
      </c>
      <c r="K67" s="220"/>
      <c r="L67" s="224"/>
      <c r="M67" s="224"/>
      <c r="N67" s="228"/>
      <c r="O67" s="224"/>
      <c r="P67" s="224"/>
    </row>
    <row r="68" spans="1:16" ht="15.75" x14ac:dyDescent="0.25">
      <c r="A68" s="216">
        <v>63</v>
      </c>
      <c r="B68" s="162"/>
      <c r="C68" s="164"/>
      <c r="D68" s="164"/>
      <c r="E68" s="164"/>
      <c r="F68" s="164"/>
      <c r="G68" s="164"/>
      <c r="H68" s="169"/>
      <c r="I68" s="164"/>
      <c r="J68" s="166" t="str">
        <f t="shared" si="1"/>
        <v/>
      </c>
      <c r="K68" s="220"/>
      <c r="L68" s="224"/>
      <c r="M68" s="224"/>
      <c r="N68" s="228"/>
      <c r="O68" s="224"/>
      <c r="P68" s="224"/>
    </row>
    <row r="69" spans="1:16" ht="15.75" x14ac:dyDescent="0.25">
      <c r="A69" s="216">
        <v>64</v>
      </c>
      <c r="B69" s="162"/>
      <c r="C69" s="164"/>
      <c r="D69" s="164"/>
      <c r="E69" s="164"/>
      <c r="F69" s="164"/>
      <c r="G69" s="164"/>
      <c r="H69" s="169"/>
      <c r="I69" s="164"/>
      <c r="J69" s="166" t="str">
        <f t="shared" si="1"/>
        <v/>
      </c>
      <c r="K69" s="220"/>
      <c r="L69" s="224"/>
      <c r="M69" s="224"/>
      <c r="N69" s="228"/>
      <c r="O69" s="224"/>
      <c r="P69" s="224"/>
    </row>
    <row r="70" spans="1:16" ht="15.75" x14ac:dyDescent="0.25">
      <c r="A70" s="216">
        <v>65</v>
      </c>
      <c r="B70" s="162"/>
      <c r="C70" s="164"/>
      <c r="D70" s="164"/>
      <c r="E70" s="164"/>
      <c r="F70" s="164"/>
      <c r="G70" s="164"/>
      <c r="H70" s="169"/>
      <c r="I70" s="164"/>
      <c r="J70" s="166" t="str">
        <f t="shared" si="1"/>
        <v/>
      </c>
      <c r="K70" s="220"/>
      <c r="L70" s="224"/>
      <c r="M70" s="224"/>
      <c r="N70" s="228"/>
      <c r="O70" s="224"/>
      <c r="P70" s="226"/>
    </row>
    <row r="71" spans="1:16" ht="15.75" x14ac:dyDescent="0.25">
      <c r="A71" s="217"/>
      <c r="B71" s="170"/>
      <c r="C71" s="171"/>
      <c r="D71" s="171"/>
      <c r="E71" s="171"/>
      <c r="F71" s="171"/>
      <c r="G71" s="171"/>
      <c r="H71" s="218"/>
      <c r="I71" s="171"/>
      <c r="J71" s="219" t="str">
        <f t="shared" si="1"/>
        <v/>
      </c>
      <c r="K71" s="221"/>
      <c r="L71" s="226"/>
      <c r="M71" s="226"/>
      <c r="N71" s="229"/>
      <c r="O71" s="226"/>
    </row>
  </sheetData>
  <mergeCells count="4">
    <mergeCell ref="A1:C3"/>
    <mergeCell ref="A4:J4"/>
    <mergeCell ref="D1:K3"/>
    <mergeCell ref="L1:O3"/>
  </mergeCells>
  <phoneticPr fontId="21" type="noConversion"/>
  <conditionalFormatting sqref="H6:H710">
    <cfRule type="expression" dxfId="42" priority="1">
      <formula>AND(H6&gt;=0.01, H6&lt;0.3)</formula>
    </cfRule>
    <cfRule type="expression" dxfId="41" priority="2">
      <formula>AND(H6&gt;=0.3, H6&lt;=0.6)</formula>
    </cfRule>
    <cfRule type="expression" dxfId="40" priority="3">
      <formula>AND(H6&gt;0.6, H6&lt;=0.9)</formula>
    </cfRule>
    <cfRule type="expression" dxfId="39" priority="6">
      <formula>AND(H6&gt;0.9)</formula>
    </cfRule>
  </conditionalFormatting>
  <pageMargins left="0.7" right="0.7" top="0.75" bottom="0.75" header="0.3" footer="0.3"/>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65AC60-25EC-4856-BEDA-11E8CA9D8E63}">
  <sheetPr codeName="Hoja13"/>
  <dimension ref="A4:J23"/>
  <sheetViews>
    <sheetView showGridLines="0" topLeftCell="A7" zoomScale="70" zoomScaleNormal="70" workbookViewId="0">
      <selection activeCell="D15" sqref="D15"/>
    </sheetView>
  </sheetViews>
  <sheetFormatPr baseColWidth="10" defaultColWidth="11.42578125" defaultRowHeight="15" x14ac:dyDescent="0.25"/>
  <cols>
    <col min="1" max="1" width="5.140625" style="57" bestFit="1" customWidth="1"/>
    <col min="2" max="2" width="16.140625" style="57" bestFit="1" customWidth="1"/>
    <col min="3" max="3" width="27.7109375" style="57" bestFit="1" customWidth="1"/>
    <col min="4" max="4" width="81.5703125" style="57" bestFit="1" customWidth="1"/>
    <col min="5" max="5" width="29" style="57" customWidth="1"/>
    <col min="6" max="6" width="12.85546875" style="57" customWidth="1"/>
    <col min="7" max="7" width="32.28515625" style="57" bestFit="1" customWidth="1"/>
    <col min="8" max="8" width="57.7109375" style="57" customWidth="1"/>
    <col min="9" max="9" width="13.5703125" style="57" bestFit="1" customWidth="1"/>
    <col min="10" max="10" width="108.85546875" style="57" bestFit="1" customWidth="1"/>
    <col min="11" max="20" width="11.42578125" style="57" customWidth="1"/>
    <col min="21" max="16384" width="11.42578125" style="57"/>
  </cols>
  <sheetData>
    <row r="4" spans="1:10" s="18" customFormat="1" ht="18.75" x14ac:dyDescent="0.25">
      <c r="A4" s="53" t="s">
        <v>1181</v>
      </c>
    </row>
    <row r="5" spans="1:10" ht="15.75" thickBot="1" x14ac:dyDescent="0.3"/>
    <row r="6" spans="1:10" ht="15.75" thickBot="1" x14ac:dyDescent="0.3">
      <c r="A6" s="90" t="s">
        <v>184</v>
      </c>
      <c r="B6" s="88" t="s">
        <v>1182</v>
      </c>
      <c r="C6" s="88" t="s">
        <v>1183</v>
      </c>
      <c r="D6" s="88" t="s">
        <v>1184</v>
      </c>
      <c r="E6" s="93" t="s">
        <v>1185</v>
      </c>
      <c r="F6" s="89" t="s">
        <v>1186</v>
      </c>
      <c r="G6" s="88" t="s">
        <v>6</v>
      </c>
      <c r="H6" s="88" t="s">
        <v>1187</v>
      </c>
      <c r="I6" s="88" t="s">
        <v>1188</v>
      </c>
      <c r="J6" s="89" t="s">
        <v>204</v>
      </c>
    </row>
    <row r="7" spans="1:10" ht="255" x14ac:dyDescent="0.25">
      <c r="A7" s="91">
        <v>1</v>
      </c>
      <c r="B7" s="57" t="s">
        <v>151</v>
      </c>
      <c r="C7" s="57" t="s">
        <v>970</v>
      </c>
      <c r="D7" s="95" t="s">
        <v>1189</v>
      </c>
      <c r="E7" s="134" t="s">
        <v>232</v>
      </c>
      <c r="F7" s="96" t="s">
        <v>1190</v>
      </c>
      <c r="G7" s="132" t="s">
        <v>1191</v>
      </c>
      <c r="H7" s="97" t="s">
        <v>1192</v>
      </c>
      <c r="I7" s="57">
        <v>3174041667</v>
      </c>
      <c r="J7" s="96" t="s">
        <v>1193</v>
      </c>
    </row>
    <row r="8" spans="1:10" x14ac:dyDescent="0.25">
      <c r="A8" s="91">
        <v>2</v>
      </c>
      <c r="B8" s="57" t="s">
        <v>152</v>
      </c>
      <c r="C8" s="57" t="s">
        <v>1082</v>
      </c>
      <c r="D8" s="95" t="s">
        <v>1194</v>
      </c>
      <c r="E8" s="98"/>
      <c r="F8" s="96"/>
      <c r="J8" s="96"/>
    </row>
    <row r="9" spans="1:10" x14ac:dyDescent="0.25">
      <c r="A9" s="91">
        <v>3</v>
      </c>
      <c r="B9" s="57" t="s">
        <v>153</v>
      </c>
      <c r="C9" s="57" t="s">
        <v>935</v>
      </c>
      <c r="D9" s="95" t="s">
        <v>1195</v>
      </c>
      <c r="E9" s="98"/>
      <c r="F9" s="96"/>
      <c r="G9" s="223" t="s">
        <v>1196</v>
      </c>
      <c r="H9" s="102" t="s">
        <v>1197</v>
      </c>
      <c r="I9" s="102">
        <v>3148937385</v>
      </c>
      <c r="J9" s="96"/>
    </row>
    <row r="10" spans="1:10" x14ac:dyDescent="0.25">
      <c r="A10" s="91">
        <v>4</v>
      </c>
      <c r="B10" s="57" t="s">
        <v>154</v>
      </c>
      <c r="C10" s="57" t="s">
        <v>1198</v>
      </c>
      <c r="D10" s="95" t="s">
        <v>1199</v>
      </c>
      <c r="E10" s="98"/>
      <c r="F10" s="96"/>
      <c r="G10" s="95" t="s">
        <v>1200</v>
      </c>
      <c r="J10" s="96"/>
    </row>
    <row r="11" spans="1:10" x14ac:dyDescent="0.25">
      <c r="A11" s="91">
        <v>5</v>
      </c>
      <c r="B11" s="57" t="s">
        <v>155</v>
      </c>
      <c r="C11" s="57" t="s">
        <v>1201</v>
      </c>
      <c r="D11" s="95" t="s">
        <v>1202</v>
      </c>
      <c r="E11" s="98"/>
      <c r="F11" s="96"/>
      <c r="G11" s="95" t="s">
        <v>1203</v>
      </c>
      <c r="H11" s="57" t="s">
        <v>1204</v>
      </c>
      <c r="I11" s="102">
        <v>3162398665</v>
      </c>
      <c r="J11" s="96"/>
    </row>
    <row r="12" spans="1:10" x14ac:dyDescent="0.25">
      <c r="A12" s="91">
        <v>6</v>
      </c>
      <c r="B12" s="57" t="s">
        <v>156</v>
      </c>
      <c r="C12" s="57" t="s">
        <v>1205</v>
      </c>
      <c r="D12" s="95" t="s">
        <v>1206</v>
      </c>
      <c r="E12" s="134" t="s">
        <v>232</v>
      </c>
      <c r="F12" s="96" t="s">
        <v>1207</v>
      </c>
      <c r="G12" s="103" t="s">
        <v>1208</v>
      </c>
      <c r="H12" s="57" t="s">
        <v>1209</v>
      </c>
      <c r="I12" s="102" t="s">
        <v>1210</v>
      </c>
      <c r="J12" s="96"/>
    </row>
    <row r="13" spans="1:10" x14ac:dyDescent="0.25">
      <c r="A13" s="91">
        <v>7</v>
      </c>
      <c r="B13" s="57" t="s">
        <v>157</v>
      </c>
      <c r="C13" s="57" t="s">
        <v>1043</v>
      </c>
      <c r="D13" s="95" t="s">
        <v>1211</v>
      </c>
      <c r="E13" s="98"/>
      <c r="F13" s="96"/>
      <c r="G13" s="102" t="s">
        <v>1212</v>
      </c>
      <c r="J13" s="96"/>
    </row>
    <row r="14" spans="1:10" x14ac:dyDescent="0.25">
      <c r="A14" s="91">
        <v>8</v>
      </c>
      <c r="B14" s="57" t="s">
        <v>158</v>
      </c>
      <c r="C14" s="57" t="s">
        <v>948</v>
      </c>
      <c r="D14" s="95" t="s">
        <v>1213</v>
      </c>
      <c r="E14" s="134" t="s">
        <v>232</v>
      </c>
      <c r="F14" s="96" t="s">
        <v>1214</v>
      </c>
      <c r="J14" s="96"/>
    </row>
    <row r="15" spans="1:10" ht="14.25" customHeight="1" x14ac:dyDescent="0.25">
      <c r="A15" s="91">
        <v>9</v>
      </c>
      <c r="B15" s="57" t="s">
        <v>159</v>
      </c>
      <c r="C15" s="57" t="s">
        <v>957</v>
      </c>
      <c r="D15" s="95" t="s">
        <v>1215</v>
      </c>
      <c r="E15" s="98"/>
      <c r="F15" s="96"/>
      <c r="G15" s="57" t="s">
        <v>1216</v>
      </c>
      <c r="J15" s="96"/>
    </row>
    <row r="16" spans="1:10" x14ac:dyDescent="0.25">
      <c r="A16" s="91">
        <v>10</v>
      </c>
      <c r="B16" s="57" t="s">
        <v>160</v>
      </c>
      <c r="C16" s="57" t="s">
        <v>972</v>
      </c>
      <c r="D16" s="95" t="s">
        <v>1217</v>
      </c>
      <c r="E16" s="98"/>
      <c r="F16" s="96"/>
      <c r="G16" s="103"/>
      <c r="I16" s="102"/>
      <c r="J16" s="96"/>
    </row>
    <row r="17" spans="1:10" x14ac:dyDescent="0.25">
      <c r="A17" s="91">
        <v>11</v>
      </c>
      <c r="B17" s="57" t="s">
        <v>282</v>
      </c>
      <c r="C17" s="57" t="s">
        <v>1218</v>
      </c>
      <c r="D17" s="95" t="s">
        <v>1219</v>
      </c>
      <c r="E17" s="98" t="s">
        <v>232</v>
      </c>
      <c r="F17" s="96" t="s">
        <v>1220</v>
      </c>
      <c r="H17" s="57" t="s">
        <v>1221</v>
      </c>
      <c r="I17" s="57">
        <v>3046310868</v>
      </c>
      <c r="J17" s="96"/>
    </row>
    <row r="18" spans="1:10" ht="15.75" thickBot="1" x14ac:dyDescent="0.3">
      <c r="A18" s="92">
        <v>12</v>
      </c>
      <c r="B18" s="99" t="s">
        <v>161</v>
      </c>
      <c r="C18" s="99" t="s">
        <v>624</v>
      </c>
      <c r="D18" s="100" t="s">
        <v>1222</v>
      </c>
      <c r="E18" s="134" t="s">
        <v>232</v>
      </c>
      <c r="F18" s="96" t="s">
        <v>1220</v>
      </c>
      <c r="G18" s="100" t="s">
        <v>1223</v>
      </c>
      <c r="H18" s="99" t="s">
        <v>1224</v>
      </c>
      <c r="I18" s="99">
        <v>3202656608</v>
      </c>
      <c r="J18" s="101" t="s">
        <v>1225</v>
      </c>
    </row>
    <row r="19" spans="1:10" x14ac:dyDescent="0.25">
      <c r="A19" s="57">
        <v>13</v>
      </c>
      <c r="B19" s="57" t="s">
        <v>359</v>
      </c>
      <c r="C19" s="57" t="s">
        <v>1226</v>
      </c>
      <c r="D19" s="133" t="s">
        <v>1227</v>
      </c>
      <c r="E19" s="98" t="s">
        <v>232</v>
      </c>
      <c r="H19" s="57" t="s">
        <v>1228</v>
      </c>
      <c r="I19" s="57">
        <v>3234839712</v>
      </c>
      <c r="J19" s="57" t="s">
        <v>1229</v>
      </c>
    </row>
    <row r="20" spans="1:10" x14ac:dyDescent="0.25">
      <c r="A20" s="57">
        <v>14</v>
      </c>
      <c r="B20" s="57" t="s">
        <v>1230</v>
      </c>
      <c r="C20" s="57" t="s">
        <v>1014</v>
      </c>
      <c r="D20" s="133" t="s">
        <v>1231</v>
      </c>
      <c r="G20" s="133" t="s">
        <v>1232</v>
      </c>
    </row>
    <row r="21" spans="1:10" x14ac:dyDescent="0.25">
      <c r="A21" s="57">
        <v>15</v>
      </c>
      <c r="B21" s="57" t="s">
        <v>817</v>
      </c>
      <c r="C21" s="57" t="s">
        <v>1233</v>
      </c>
      <c r="D21" s="133" t="s">
        <v>1234</v>
      </c>
      <c r="E21" s="134" t="s">
        <v>232</v>
      </c>
      <c r="F21" s="96" t="s">
        <v>1190</v>
      </c>
      <c r="G21" s="133"/>
    </row>
    <row r="22" spans="1:10" x14ac:dyDescent="0.25">
      <c r="A22" s="57">
        <v>16</v>
      </c>
      <c r="B22" s="57" t="s">
        <v>702</v>
      </c>
      <c r="C22" s="57" t="s">
        <v>1027</v>
      </c>
      <c r="D22" s="133" t="s">
        <v>1235</v>
      </c>
      <c r="E22" s="133"/>
      <c r="H22" s="133" t="s">
        <v>1236</v>
      </c>
      <c r="I22" s="57" t="s">
        <v>1237</v>
      </c>
    </row>
    <row r="23" spans="1:10" x14ac:dyDescent="0.25">
      <c r="A23" s="57">
        <v>17</v>
      </c>
      <c r="B23" s="57" t="s">
        <v>857</v>
      </c>
      <c r="D23" s="133" t="s">
        <v>1238</v>
      </c>
      <c r="E23" s="133" t="s">
        <v>232</v>
      </c>
      <c r="F23" s="57" t="s">
        <v>1214</v>
      </c>
    </row>
  </sheetData>
  <hyperlinks>
    <hyperlink ref="D7" r:id="rId1" xr:uid="{2B9DE146-2377-4370-9FA0-1F0891D5149D}"/>
    <hyperlink ref="D8" r:id="rId2" tooltip="https://maps.epm.com.co/eter/visor/visor" xr:uid="{1AE46BB8-F86A-454A-AD24-0C86879BCA41}"/>
    <hyperlink ref="D9" r:id="rId3" tooltip="http://35.188.201.15/cedenar_generacion_distribuida/" xr:uid="{C86E708A-B9D9-4DF9-A714-4D9DA3D77821}"/>
    <hyperlink ref="D10" r:id="rId4" xr:uid="{238415DA-DFA7-4215-B421-162A0676430A}"/>
    <hyperlink ref="D11" r:id="rId5" tooltip="https://servicios.energiacaribemar.co/autogeneracion/" xr:uid="{F606D7BE-B2E7-4A1E-910B-8808414420B4}"/>
    <hyperlink ref="D12" r:id="rId6" xr:uid="{11ACE0F4-6E67-4A2C-B7E7-1FCDAC94E94A}"/>
    <hyperlink ref="D13" r:id="rId7" xr:uid="{45879F4B-E486-4748-809C-264094B72793}"/>
    <hyperlink ref="D14" r:id="rId8" xr:uid="{0687438A-3C05-4043-84B2-21CBC35605C0}"/>
    <hyperlink ref="D15" r:id="rId9" xr:uid="{142E89C2-86CB-410C-8030-26E9CAD50C25}"/>
    <hyperlink ref="D16" r:id="rId10" tooltip="http://35.193.94.55/emsa_generacion_distribuida/" display="http://35.193.94.55/emsa_generacion_distribuida/" xr:uid="{C94CB162-14E2-468A-B5F4-14CD8E54EA78}"/>
    <hyperlink ref="E7" r:id="rId11" xr:uid="{87975DA1-1D8F-4C88-B802-211B9C64CF96}"/>
    <hyperlink ref="G7" r:id="rId12" xr:uid="{47AF623B-D566-4E1B-B2FE-6E51C2FE4BCA}"/>
    <hyperlink ref="G12" r:id="rId13" xr:uid="{85ECC4DF-C964-4EBE-9EF5-A6EF38B53F88}"/>
    <hyperlink ref="D17" r:id="rId14" display="https://www.chec.com.co/Home/Clientes-y-comunidad/Clientes/Clientes-Hogares/Sobre-el-servicio/Usuarios-Autogeneradores-y-Generadores-Distribuidos" xr:uid="{D8697FBA-5DB6-4C58-BA3C-7EDA25D548C0}"/>
    <hyperlink ref="E17" r:id="rId15" xr:uid="{C8F5D17B-77DB-4D40-98D4-3CE1D330AA52}"/>
    <hyperlink ref="G11" r:id="rId16" xr:uid="{D58018B1-1F04-4A40-ABF0-0E43507DE7F1}"/>
    <hyperlink ref="G10" r:id="rId17" xr:uid="{015AA396-BDF1-4BC2-B951-799714C1F262}"/>
    <hyperlink ref="D18" r:id="rId18" xr:uid="{CD7E7949-1B32-49ED-A0FC-59D16BAEB0A3}"/>
    <hyperlink ref="G18" r:id="rId19" xr:uid="{8454ED91-8987-45FA-9886-39670219D824}"/>
    <hyperlink ref="D19" r:id="rId20" xr:uid="{F6A01A46-4EE8-494C-86BA-A08F0DF44AE2}"/>
    <hyperlink ref="E18" r:id="rId21" xr:uid="{F9C6D44B-6E60-4C57-BD4D-CEB3F86CDA55}"/>
    <hyperlink ref="E12" r:id="rId22" xr:uid="{21CD5DEC-3355-499C-B912-3D4F8B9F405B}"/>
    <hyperlink ref="E14" r:id="rId23" xr:uid="{6B4D8A78-ACAE-47ED-BBF7-1078F093081C}"/>
    <hyperlink ref="D20" r:id="rId24" xr:uid="{7082E8FE-F2CF-419F-AECC-85D22A5669C3}"/>
    <hyperlink ref="G20" r:id="rId25" xr:uid="{955A02FA-5E24-479D-8E2B-12FBB6A7917A}"/>
    <hyperlink ref="G9" r:id="rId26" xr:uid="{C70724C2-8065-4259-91F7-A4CAA60666D1}"/>
    <hyperlink ref="D21" r:id="rId27" xr:uid="{3FC51714-D270-404D-9267-FD009D083E62}"/>
    <hyperlink ref="E19" r:id="rId28" xr:uid="{EAD4AFC5-42EF-4021-8053-805727EF49C0}"/>
    <hyperlink ref="E21" r:id="rId29" xr:uid="{342E732A-A9C4-4256-B091-50BA2F62B18B}"/>
    <hyperlink ref="D22" r:id="rId30" xr:uid="{68C74EC2-1BD4-4D22-8273-623719898E2C}"/>
    <hyperlink ref="H22" r:id="rId31" xr:uid="{78F822BB-2655-482C-8028-1003AB06389C}"/>
    <hyperlink ref="E23" r:id="rId32" xr:uid="{AC87D2CC-F6DD-4AB2-922C-9335EF2CFB17}"/>
    <hyperlink ref="D23" r:id="rId33" xr:uid="{FA25EB5D-EC8F-454C-ADCB-F0573BF418F5}"/>
  </hyperlinks>
  <pageMargins left="0.7" right="0.7" top="0.75" bottom="0.75" header="0.3" footer="0.3"/>
  <pageSetup orientation="portrait" r:id="rId34"/>
  <drawing r:id="rId35"/>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FBEDDD-A2D8-479D-8E73-0B483FB68047}">
  <sheetPr codeName="Hoja14"/>
  <dimension ref="A1:W145"/>
  <sheetViews>
    <sheetView topLeftCell="A103" zoomScale="85" zoomScaleNormal="85" workbookViewId="0">
      <selection activeCell="B146" sqref="B146"/>
    </sheetView>
  </sheetViews>
  <sheetFormatPr baseColWidth="10" defaultColWidth="9.140625" defaultRowHeight="15" x14ac:dyDescent="0.25"/>
  <cols>
    <col min="1" max="1" width="7.5703125" bestFit="1" customWidth="1"/>
    <col min="2" max="2" width="25.85546875" bestFit="1" customWidth="1"/>
    <col min="3" max="3" width="31" bestFit="1" customWidth="1"/>
    <col min="4" max="4" width="10.7109375" style="85" bestFit="1" customWidth="1"/>
    <col min="5" max="5" width="21" style="7" customWidth="1"/>
    <col min="6" max="6" width="22.140625" style="7" bestFit="1" customWidth="1"/>
    <col min="7" max="7" width="15.5703125" style="7" customWidth="1"/>
    <col min="8" max="8" width="25.28515625" style="7" customWidth="1"/>
    <col min="9" max="9" width="22.85546875" style="7" customWidth="1"/>
    <col min="10" max="10" width="23.28515625" style="7" customWidth="1"/>
    <col min="11" max="11" width="31" style="7" customWidth="1"/>
    <col min="12" max="12" width="30.7109375" style="7" customWidth="1"/>
    <col min="13" max="13" width="15.140625" style="7" bestFit="1" customWidth="1"/>
    <col min="14" max="14" width="31.7109375" style="7" bestFit="1" customWidth="1"/>
    <col min="15" max="15" width="16.140625" style="7" bestFit="1" customWidth="1"/>
    <col min="16" max="16" width="12.85546875" bestFit="1" customWidth="1"/>
  </cols>
  <sheetData>
    <row r="1" spans="1:23" s="18" customFormat="1" x14ac:dyDescent="0.25">
      <c r="L1" s="76"/>
      <c r="M1" s="43"/>
      <c r="N1" s="43"/>
      <c r="R1" s="43"/>
      <c r="U1" s="43"/>
      <c r="V1" s="43"/>
    </row>
    <row r="2" spans="1:23" s="18" customFormat="1" x14ac:dyDescent="0.25">
      <c r="L2" s="76"/>
      <c r="M2" s="43"/>
      <c r="N2" s="43"/>
      <c r="R2" s="43"/>
      <c r="U2" s="43"/>
      <c r="V2" s="43"/>
    </row>
    <row r="3" spans="1:23" s="18" customFormat="1" x14ac:dyDescent="0.25">
      <c r="L3" s="76"/>
      <c r="M3" s="43"/>
      <c r="N3" s="43"/>
      <c r="R3" s="43"/>
      <c r="U3" s="43"/>
      <c r="V3" s="43"/>
    </row>
    <row r="4" spans="1:23" s="18" customFormat="1" ht="18.75" x14ac:dyDescent="0.25">
      <c r="A4" s="53" t="s">
        <v>1239</v>
      </c>
      <c r="K4" s="268"/>
      <c r="L4" s="268"/>
      <c r="M4" s="268"/>
      <c r="N4" s="55"/>
      <c r="O4" s="267"/>
      <c r="P4" s="267"/>
      <c r="Q4" s="267"/>
      <c r="R4" s="267"/>
      <c r="S4" s="267"/>
      <c r="T4" s="267"/>
      <c r="U4" s="267"/>
      <c r="V4" s="43"/>
    </row>
    <row r="5" spans="1:23" s="108" customFormat="1" ht="76.5" customHeight="1" x14ac:dyDescent="0.25">
      <c r="A5" s="107"/>
      <c r="E5" s="108" t="s">
        <v>1240</v>
      </c>
      <c r="F5" s="108" t="s">
        <v>1241</v>
      </c>
      <c r="H5" s="108" t="s">
        <v>1242</v>
      </c>
      <c r="I5" s="108" t="s">
        <v>1243</v>
      </c>
      <c r="K5" s="108" t="s">
        <v>1244</v>
      </c>
      <c r="L5" s="109"/>
      <c r="M5" s="109"/>
      <c r="N5" s="108" t="s">
        <v>1245</v>
      </c>
      <c r="O5" s="108" t="s">
        <v>1246</v>
      </c>
      <c r="P5" s="110"/>
      <c r="Q5" s="110"/>
      <c r="R5" s="110"/>
      <c r="S5" s="110"/>
      <c r="T5" s="110"/>
      <c r="U5" s="110"/>
      <c r="V5" s="111"/>
      <c r="W5" s="112"/>
    </row>
    <row r="6" spans="1:23" s="6" customFormat="1" ht="30.75" customHeight="1" x14ac:dyDescent="0.25">
      <c r="A6" s="6" t="s">
        <v>184</v>
      </c>
      <c r="B6" s="6" t="s">
        <v>1</v>
      </c>
      <c r="C6" s="6" t="s">
        <v>7</v>
      </c>
      <c r="D6" s="106" t="s">
        <v>1247</v>
      </c>
      <c r="E6" s="105" t="s">
        <v>1248</v>
      </c>
      <c r="F6" s="105" t="s">
        <v>1249</v>
      </c>
      <c r="G6" s="105" t="s">
        <v>1250</v>
      </c>
      <c r="H6" s="105" t="s">
        <v>1251</v>
      </c>
      <c r="I6" s="105" t="s">
        <v>1252</v>
      </c>
      <c r="J6" s="105" t="s">
        <v>1253</v>
      </c>
      <c r="K6" s="105" t="s">
        <v>1254</v>
      </c>
      <c r="L6" s="105" t="s">
        <v>1255</v>
      </c>
      <c r="M6" s="105" t="s">
        <v>1256</v>
      </c>
      <c r="N6" s="105" t="s">
        <v>1257</v>
      </c>
      <c r="O6" s="105" t="s">
        <v>1258</v>
      </c>
      <c r="P6" s="105" t="s">
        <v>1259</v>
      </c>
    </row>
    <row r="7" spans="1:23" x14ac:dyDescent="0.25">
      <c r="A7">
        <f>'ESTADO SOLICITUDES'!A7</f>
        <v>1</v>
      </c>
      <c r="B7" t="str">
        <f>'ESTADO SOLICITUDES'!B7</f>
        <v>Naos 1</v>
      </c>
      <c r="C7" t="str">
        <f>'ESTADO SOLICITUDES'!T7</f>
        <v>Aprobado</v>
      </c>
      <c r="D7" s="85">
        <f>'ESTADO SOLICITUDES'!K7</f>
        <v>1501</v>
      </c>
      <c r="E7" s="7">
        <f>'ESTADO SOLICITUDES'!J7</f>
        <v>45252</v>
      </c>
      <c r="F7" s="104">
        <f t="shared" ref="F7:F38" si="0">WORKDAY(E7,5)</f>
        <v>45259</v>
      </c>
      <c r="G7" s="104"/>
      <c r="H7" s="7">
        <f>'ESTADO SOLICITUDES'!M7</f>
        <v>45259</v>
      </c>
      <c r="I7" s="104">
        <f t="shared" ref="I7:I38" ca="1" si="1">IF(H7=0, TODAY() + 140, H7 + 140)</f>
        <v>45399</v>
      </c>
      <c r="J7" s="7">
        <f>+EstadoSolicitudes[[#This Row],[Cargue estudio al OR]]</f>
        <v>45261</v>
      </c>
      <c r="K7" s="104">
        <f t="shared" ref="K7:K38" si="2">WORKDAY(IF(J7=0, I7, J7), 10)</f>
        <v>45275</v>
      </c>
      <c r="M7" s="7">
        <f>+EstadoSolicitudes[[#This Row],[Vigencia]]</f>
        <v>0</v>
      </c>
      <c r="N7" s="104">
        <f>+IF(tiempos[[#This Row],[Vigencia OR]]=0,(tiempos[[#This Row],[Plazo Verificación técnica de la documentación]]+175),tiempos[[#This Row],[Vigencia OR]])</f>
        <v>45450</v>
      </c>
      <c r="O7" s="104">
        <f>+tiempos[[#This Row],[Plazo de la conexión (sin prorroga)]]+90</f>
        <v>45540</v>
      </c>
      <c r="P7" s="7"/>
    </row>
    <row r="8" spans="1:23" x14ac:dyDescent="0.25">
      <c r="A8">
        <f>'ESTADO SOLICITUDES'!A8</f>
        <v>2</v>
      </c>
      <c r="B8" t="str">
        <f>'ESTADO SOLICITUDES'!B8</f>
        <v>Naos 2</v>
      </c>
      <c r="C8" t="str">
        <f>'ESTADO SOLICITUDES'!T8</f>
        <v>Aprobado</v>
      </c>
      <c r="D8" s="85">
        <f>'ESTADO SOLICITUDES'!K8</f>
        <v>1961</v>
      </c>
      <c r="E8" s="7">
        <f>'ESTADO SOLICITUDES'!J8</f>
        <v>45394</v>
      </c>
      <c r="F8" s="104">
        <f t="shared" si="0"/>
        <v>45401</v>
      </c>
      <c r="G8" s="104"/>
      <c r="H8" s="7">
        <f>'ESTADO SOLICITUDES'!M8</f>
        <v>45426</v>
      </c>
      <c r="I8" s="104">
        <f t="shared" ca="1" si="1"/>
        <v>45566</v>
      </c>
      <c r="J8" s="7">
        <f>+EstadoSolicitudes[[#This Row],[Cargue estudio al OR]]</f>
        <v>45426</v>
      </c>
      <c r="K8" s="104">
        <f t="shared" si="2"/>
        <v>45440</v>
      </c>
      <c r="M8" s="7">
        <f>+EstadoSolicitudes[[#This Row],[Vigencia]]</f>
        <v>45758</v>
      </c>
      <c r="N8" s="104">
        <f>+IF(tiempos[[#This Row],[Vigencia OR]]=0,(tiempos[[#This Row],[Plazo Verificación técnica de la documentación]]+175),tiempos[[#This Row],[Vigencia OR]])</f>
        <v>45758</v>
      </c>
      <c r="O8" s="104">
        <f>+tiempos[[#This Row],[Plazo de la conexión (sin prorroga)]]+90</f>
        <v>45848</v>
      </c>
      <c r="P8" s="7"/>
    </row>
    <row r="9" spans="1:23" x14ac:dyDescent="0.25">
      <c r="A9">
        <f>'ESTADO SOLICITUDES'!A9</f>
        <v>3</v>
      </c>
      <c r="B9" t="str">
        <f>'ESTADO SOLICITUDES'!B9</f>
        <v>Naos 3</v>
      </c>
      <c r="C9" t="str">
        <f>'ESTADO SOLICITUDES'!T9</f>
        <v>Aprobado</v>
      </c>
      <c r="D9" s="85">
        <f>'ESTADO SOLICITUDES'!K9</f>
        <v>2002</v>
      </c>
      <c r="E9" s="7">
        <f>'ESTADO SOLICITUDES'!J9</f>
        <v>45404</v>
      </c>
      <c r="F9" s="104">
        <f t="shared" si="0"/>
        <v>45411</v>
      </c>
      <c r="G9" s="104"/>
      <c r="H9" s="7">
        <f>'ESTADO SOLICITUDES'!M9</f>
        <v>45435</v>
      </c>
      <c r="I9" s="104">
        <f t="shared" ca="1" si="1"/>
        <v>45575</v>
      </c>
      <c r="J9" s="7">
        <f>+EstadoSolicitudes[[#This Row],[Cargue estudio al OR]]</f>
        <v>45463</v>
      </c>
      <c r="K9" s="104">
        <f t="shared" si="2"/>
        <v>45477</v>
      </c>
      <c r="M9" s="7">
        <f>+EstadoSolicitudes[[#This Row],[Vigencia]]</f>
        <v>45794</v>
      </c>
      <c r="N9" s="104">
        <f>+IF(tiempos[[#This Row],[Vigencia OR]]=0,(tiempos[[#This Row],[Plazo Verificación técnica de la documentación]]+175),tiempos[[#This Row],[Vigencia OR]])</f>
        <v>45794</v>
      </c>
      <c r="O9" s="104">
        <f>+tiempos[[#This Row],[Plazo de la conexión (sin prorroga)]]+90</f>
        <v>45884</v>
      </c>
      <c r="P9" s="7"/>
    </row>
    <row r="10" spans="1:23" x14ac:dyDescent="0.25">
      <c r="A10">
        <f>'ESTADO SOLICITUDES'!A10</f>
        <v>4</v>
      </c>
      <c r="B10" t="str">
        <f>'ESTADO SOLICITUDES'!B10</f>
        <v>Cancelado Polaris 1</v>
      </c>
      <c r="C10" t="str">
        <f>'ESTADO SOLICITUDES'!T10</f>
        <v>Cancelado</v>
      </c>
      <c r="D10" s="85">
        <f>'ESTADO SOLICITUDES'!K10</f>
        <v>2003</v>
      </c>
      <c r="E10" s="7">
        <f>'ESTADO SOLICITUDES'!J10</f>
        <v>45404</v>
      </c>
      <c r="F10" s="104">
        <f t="shared" si="0"/>
        <v>45411</v>
      </c>
      <c r="G10" s="104"/>
      <c r="H10" s="7">
        <f>'ESTADO SOLICITUDES'!M10</f>
        <v>45469</v>
      </c>
      <c r="I10" s="104">
        <f t="shared" ca="1" si="1"/>
        <v>45609</v>
      </c>
      <c r="J10" s="7">
        <f>+EstadoSolicitudes[[#This Row],[Cargue estudio al OR]]</f>
        <v>45532</v>
      </c>
      <c r="K10" s="104">
        <f t="shared" si="2"/>
        <v>45546</v>
      </c>
      <c r="M10" s="7">
        <f>+EstadoSolicitudes[[#This Row],[Vigencia]]</f>
        <v>270</v>
      </c>
      <c r="N10" s="104">
        <f>+IF(tiempos[[#This Row],[Vigencia OR]]=0,(tiempos[[#This Row],[Plazo Verificación técnica de la documentación]]+175),tiempos[[#This Row],[Vigencia OR]])</f>
        <v>270</v>
      </c>
      <c r="O10" s="104">
        <f>+tiempos[[#This Row],[Plazo de la conexión (sin prorroga)]]+90</f>
        <v>360</v>
      </c>
      <c r="P10" s="7"/>
    </row>
    <row r="11" spans="1:23" x14ac:dyDescent="0.25">
      <c r="A11">
        <f>'ESTADO SOLICITUDES'!A11</f>
        <v>5</v>
      </c>
      <c r="B11" t="str">
        <f>'ESTADO SOLICITUDES'!B11</f>
        <v>Cancelado Delta 1</v>
      </c>
      <c r="C11" t="str">
        <f>'ESTADO SOLICITUDES'!T11</f>
        <v>Cancelado</v>
      </c>
      <c r="D11" s="85">
        <f>'ESTADO SOLICITUDES'!K11</f>
        <v>2441</v>
      </c>
      <c r="E11" s="7">
        <f>'ESTADO SOLICITUDES'!J11</f>
        <v>45513</v>
      </c>
      <c r="F11" s="104">
        <f t="shared" si="0"/>
        <v>45520</v>
      </c>
      <c r="G11" s="104"/>
      <c r="H11" s="7">
        <f>'ESTADO SOLICITUDES'!M11</f>
        <v>45516</v>
      </c>
      <c r="I11" s="104">
        <f t="shared" ca="1" si="1"/>
        <v>45656</v>
      </c>
      <c r="J11" s="7">
        <f>+EstadoSolicitudes[[#This Row],[Cargue estudio al OR]]</f>
        <v>45532</v>
      </c>
      <c r="K11" s="104">
        <f t="shared" si="2"/>
        <v>45546</v>
      </c>
      <c r="M11" s="7">
        <f>+EstadoSolicitudes[[#This Row],[Vigencia]]</f>
        <v>270</v>
      </c>
      <c r="N11" s="104">
        <f>+IF(tiempos[[#This Row],[Vigencia OR]]=0,(tiempos[[#This Row],[Plazo Verificación técnica de la documentación]]+175),tiempos[[#This Row],[Vigencia OR]])</f>
        <v>270</v>
      </c>
      <c r="O11" s="104">
        <f>+tiempos[[#This Row],[Plazo de la conexión (sin prorroga)]]+90</f>
        <v>360</v>
      </c>
      <c r="P11" s="7"/>
    </row>
    <row r="12" spans="1:23" x14ac:dyDescent="0.25">
      <c r="A12">
        <f>'ESTADO SOLICITUDES'!A12</f>
        <v>6</v>
      </c>
      <c r="B12" t="str">
        <f>'ESTADO SOLICITUDES'!B12</f>
        <v>Cancelado Polaris 2</v>
      </c>
      <c r="C12" t="str">
        <f>'ESTADO SOLICITUDES'!T12</f>
        <v>Cancelado</v>
      </c>
      <c r="D12" s="85" t="str">
        <f>'ESTADO SOLICITUDES'!K12</f>
        <v>2464 </v>
      </c>
      <c r="E12" s="7">
        <f>'ESTADO SOLICITUDES'!J12</f>
        <v>45517</v>
      </c>
      <c r="F12" s="104">
        <f t="shared" si="0"/>
        <v>45524</v>
      </c>
      <c r="G12" s="104"/>
      <c r="H12" s="7">
        <f>'ESTADO SOLICITUDES'!M12</f>
        <v>0</v>
      </c>
      <c r="I12" s="104">
        <f t="shared" ca="1" si="1"/>
        <v>46016</v>
      </c>
      <c r="J12" s="7">
        <f>+EstadoSolicitudes[[#This Row],[Cargue estudio al OR]]</f>
        <v>0</v>
      </c>
      <c r="K12" s="104">
        <f t="shared" ca="1" si="2"/>
        <v>46030</v>
      </c>
      <c r="M12" s="7">
        <f>+EstadoSolicitudes[[#This Row],[Vigencia]]</f>
        <v>0</v>
      </c>
      <c r="N12" s="104">
        <f ca="1">+IF(tiempos[[#This Row],[Vigencia OR]]=0,(tiempos[[#This Row],[Plazo Verificación técnica de la documentación]]+175),tiempos[[#This Row],[Vigencia OR]])</f>
        <v>46205</v>
      </c>
      <c r="O12" s="104">
        <f ca="1">+tiempos[[#This Row],[Plazo de la conexión (sin prorroga)]]+90</f>
        <v>46295</v>
      </c>
      <c r="P12" s="7"/>
    </row>
    <row r="13" spans="1:23" x14ac:dyDescent="0.25">
      <c r="A13">
        <f>'ESTADO SOLICITUDES'!A13</f>
        <v>7</v>
      </c>
      <c r="B13" t="str">
        <f>'ESTADO SOLICITUDES'!B13</f>
        <v>ATL005-Campeche</v>
      </c>
      <c r="C13" t="str">
        <f>'ESTADO SOLICITUDES'!T13</f>
        <v>Espera</v>
      </c>
      <c r="D13" s="85">
        <f>'ESTADO SOLICITUDES'!K13</f>
        <v>21677</v>
      </c>
      <c r="E13" s="7">
        <f>'ESTADO SOLICITUDES'!J13</f>
        <v>45526</v>
      </c>
      <c r="F13" s="104">
        <f t="shared" si="0"/>
        <v>45533</v>
      </c>
      <c r="G13" s="104"/>
      <c r="H13" s="7">
        <f>'ESTADO SOLICITUDES'!M13</f>
        <v>45569</v>
      </c>
      <c r="I13" s="104">
        <f t="shared" ca="1" si="1"/>
        <v>45709</v>
      </c>
      <c r="J13" s="7">
        <f>+EstadoSolicitudes[[#This Row],[Cargue estudio al OR]]</f>
        <v>0</v>
      </c>
      <c r="K13" s="104">
        <f t="shared" ca="1" si="2"/>
        <v>45723</v>
      </c>
      <c r="M13" s="7">
        <f>+EstadoSolicitudes[[#This Row],[Vigencia]]</f>
        <v>0</v>
      </c>
      <c r="N13" s="104">
        <f ca="1">+IF(tiempos[[#This Row],[Vigencia OR]]=0,(tiempos[[#This Row],[Plazo Verificación técnica de la documentación]]+175),tiempos[[#This Row],[Vigencia OR]])</f>
        <v>45898</v>
      </c>
      <c r="O13" s="104">
        <f ca="1">+tiempos[[#This Row],[Plazo de la conexión (sin prorroga)]]+90</f>
        <v>45988</v>
      </c>
      <c r="P13" s="7"/>
    </row>
    <row r="14" spans="1:23" x14ac:dyDescent="0.25">
      <c r="A14">
        <f>'ESTADO SOLICITUDES'!A14</f>
        <v>8</v>
      </c>
      <c r="B14" t="str">
        <f>'ESTADO SOLICITUDES'!B14</f>
        <v>ATL002-Campo de la cruz</v>
      </c>
      <c r="C14" t="str">
        <f>'ESTADO SOLICITUDES'!T14</f>
        <v>Espera</v>
      </c>
      <c r="D14" s="85">
        <f>'ESTADO SOLICITUDES'!K14</f>
        <v>21682</v>
      </c>
      <c r="E14" s="7">
        <f>'ESTADO SOLICITUDES'!J14</f>
        <v>45526</v>
      </c>
      <c r="F14" s="104">
        <f t="shared" si="0"/>
        <v>45533</v>
      </c>
      <c r="G14" s="104"/>
      <c r="H14" s="7">
        <f>'ESTADO SOLICITUDES'!M14</f>
        <v>45569</v>
      </c>
      <c r="I14" s="104">
        <f t="shared" ca="1" si="1"/>
        <v>45709</v>
      </c>
      <c r="J14" s="7">
        <f>+EstadoSolicitudes[[#This Row],[Cargue estudio al OR]]</f>
        <v>0</v>
      </c>
      <c r="K14" s="104">
        <f t="shared" ca="1" si="2"/>
        <v>45723</v>
      </c>
      <c r="M14" s="7">
        <f>+EstadoSolicitudes[[#This Row],[Vigencia]]</f>
        <v>0</v>
      </c>
      <c r="N14" s="104">
        <f ca="1">+IF(tiempos[[#This Row],[Vigencia OR]]=0,(tiempos[[#This Row],[Plazo Verificación técnica de la documentación]]+175),tiempos[[#This Row],[Vigencia OR]])</f>
        <v>45898</v>
      </c>
      <c r="O14" s="104">
        <f ca="1">+tiempos[[#This Row],[Plazo de la conexión (sin prorroga)]]+90</f>
        <v>45988</v>
      </c>
      <c r="P14" s="7"/>
    </row>
    <row r="15" spans="1:23" x14ac:dyDescent="0.25">
      <c r="A15">
        <f>'ESTADO SOLICITUDES'!A15</f>
        <v>9</v>
      </c>
      <c r="B15" t="str">
        <f>'ESTADO SOLICITUDES'!B15</f>
        <v>CES006 - Villa Emma (Mary)</v>
      </c>
      <c r="C15" t="str">
        <f>'ESTADO SOLICITUDES'!T15</f>
        <v>Espera</v>
      </c>
      <c r="D15" s="85">
        <f>'ESTADO SOLICITUDES'!K15</f>
        <v>28172</v>
      </c>
      <c r="E15" s="7">
        <f>'ESTADO SOLICITUDES'!J15</f>
        <v>45530</v>
      </c>
      <c r="F15" s="104">
        <f t="shared" si="0"/>
        <v>45537</v>
      </c>
      <c r="G15" s="104"/>
      <c r="H15" s="7">
        <f>'ESTADO SOLICITUDES'!M15</f>
        <v>45545</v>
      </c>
      <c r="I15" s="104">
        <f t="shared" ca="1" si="1"/>
        <v>45685</v>
      </c>
      <c r="J15" s="7">
        <f>+EstadoSolicitudes[[#This Row],[Cargue estudio al OR]]</f>
        <v>0</v>
      </c>
      <c r="K15" s="104">
        <f t="shared" ca="1" si="2"/>
        <v>45699</v>
      </c>
      <c r="M15" s="7">
        <f>+EstadoSolicitudes[[#This Row],[Vigencia]]</f>
        <v>0</v>
      </c>
      <c r="N15" s="104">
        <f ca="1">+IF(tiempos[[#This Row],[Vigencia OR]]=0,(tiempos[[#This Row],[Plazo Verificación técnica de la documentación]]+175),tiempos[[#This Row],[Vigencia OR]])</f>
        <v>45874</v>
      </c>
      <c r="O15" s="104">
        <f ca="1">+tiempos[[#This Row],[Plazo de la conexión (sin prorroga)]]+90</f>
        <v>45964</v>
      </c>
      <c r="P15" s="7"/>
    </row>
    <row r="16" spans="1:23" x14ac:dyDescent="0.25">
      <c r="A16">
        <f>'ESTADO SOLICITUDES'!A16</f>
        <v>10</v>
      </c>
      <c r="B16" t="str">
        <f>'ESTADO SOLICITUDES'!B16</f>
        <v>Polaris 3</v>
      </c>
      <c r="C16" t="str">
        <f>'ESTADO SOLICITUDES'!T16</f>
        <v>Espera</v>
      </c>
      <c r="D16" s="85">
        <f>'ESTADO SOLICITUDES'!K16</f>
        <v>2541</v>
      </c>
      <c r="E16" s="7">
        <f>'ESTADO SOLICITUDES'!J16</f>
        <v>45531</v>
      </c>
      <c r="F16" s="104">
        <f t="shared" si="0"/>
        <v>45538</v>
      </c>
      <c r="G16" s="104"/>
      <c r="H16" s="7">
        <f>'ESTADO SOLICITUDES'!M16</f>
        <v>45558</v>
      </c>
      <c r="I16" s="104">
        <f t="shared" ca="1" si="1"/>
        <v>45698</v>
      </c>
      <c r="J16" s="7">
        <f>+EstadoSolicitudes[[#This Row],[Cargue estudio al OR]]</f>
        <v>0</v>
      </c>
      <c r="K16" s="104">
        <f t="shared" ca="1" si="2"/>
        <v>45712</v>
      </c>
      <c r="M16" s="7">
        <f>+EstadoSolicitudes[[#This Row],[Vigencia]]</f>
        <v>270</v>
      </c>
      <c r="N16" s="104">
        <f>+IF(tiempos[[#This Row],[Vigencia OR]]=0,(tiempos[[#This Row],[Plazo Verificación técnica de la documentación]]+175),tiempos[[#This Row],[Vigencia OR]])</f>
        <v>270</v>
      </c>
      <c r="O16" s="104">
        <f>+tiempos[[#This Row],[Plazo de la conexión (sin prorroga)]]+90</f>
        <v>360</v>
      </c>
      <c r="P16" s="7"/>
    </row>
    <row r="17" spans="1:16" x14ac:dyDescent="0.25">
      <c r="A17">
        <f>'ESTADO SOLICITUDES'!A17</f>
        <v>11</v>
      </c>
      <c r="B17" t="str">
        <f>'ESTADO SOLICITUDES'!B17</f>
        <v>VAL002 - Andalucia</v>
      </c>
      <c r="C17" t="str">
        <f>'ESTADO SOLICITUDES'!T17</f>
        <v>Espera</v>
      </c>
      <c r="D17" s="85">
        <f>'ESTADO SOLICITUDES'!K17</f>
        <v>0</v>
      </c>
      <c r="E17" s="7">
        <f>'ESTADO SOLICITUDES'!J17</f>
        <v>45541</v>
      </c>
      <c r="F17" s="104">
        <f t="shared" si="0"/>
        <v>45548</v>
      </c>
      <c r="G17" s="104"/>
      <c r="H17" s="7">
        <f>'ESTADO SOLICITUDES'!M17</f>
        <v>45565</v>
      </c>
      <c r="I17" s="104">
        <f t="shared" ca="1" si="1"/>
        <v>45705</v>
      </c>
      <c r="J17" s="7">
        <f>+EstadoSolicitudes[[#This Row],[Cargue estudio al OR]]</f>
        <v>0</v>
      </c>
      <c r="K17" s="104">
        <f t="shared" ca="1" si="2"/>
        <v>45719</v>
      </c>
      <c r="M17" s="7">
        <f>+EstadoSolicitudes[[#This Row],[Vigencia]]</f>
        <v>0</v>
      </c>
      <c r="N17" s="104">
        <f ca="1">+IF(tiempos[[#This Row],[Vigencia OR]]=0,(tiempos[[#This Row],[Plazo Verificación técnica de la documentación]]+175),tiempos[[#This Row],[Vigencia OR]])</f>
        <v>45894</v>
      </c>
      <c r="O17" s="104">
        <f ca="1">+tiempos[[#This Row],[Plazo de la conexión (sin prorroga)]]+90</f>
        <v>45984</v>
      </c>
      <c r="P17" s="7"/>
    </row>
    <row r="18" spans="1:16" x14ac:dyDescent="0.25">
      <c r="A18">
        <f>'ESTADO SOLICITUDES'!A18</f>
        <v>12</v>
      </c>
      <c r="B18" t="str">
        <f>'ESTADO SOLICITUDES'!B18</f>
        <v>Cancelado CAU008-Bonanza</v>
      </c>
      <c r="C18" t="str">
        <f>'ESTADO SOLICITUDES'!T18</f>
        <v>Cancelado</v>
      </c>
      <c r="D18" s="85">
        <f>'ESTADO SOLICITUDES'!K18</f>
        <v>7984454</v>
      </c>
      <c r="E18" s="7">
        <f>'ESTADO SOLICITUDES'!J18</f>
        <v>45547</v>
      </c>
      <c r="F18" s="104">
        <f t="shared" si="0"/>
        <v>45554</v>
      </c>
      <c r="G18" s="104"/>
      <c r="H18" s="7">
        <f>'ESTADO SOLICITUDES'!M18</f>
        <v>0</v>
      </c>
      <c r="I18" s="104">
        <f t="shared" ca="1" si="1"/>
        <v>46016</v>
      </c>
      <c r="J18" s="7">
        <f>+EstadoSolicitudes[[#This Row],[Cargue estudio al OR]]</f>
        <v>0</v>
      </c>
      <c r="K18" s="104">
        <f t="shared" ca="1" si="2"/>
        <v>46030</v>
      </c>
      <c r="M18" s="7">
        <f>+EstadoSolicitudes[[#This Row],[Vigencia]]</f>
        <v>0</v>
      </c>
      <c r="N18" s="104">
        <f ca="1">+IF(tiempos[[#This Row],[Vigencia OR]]=0,(tiempos[[#This Row],[Plazo Verificación técnica de la documentación]]+175),tiempos[[#This Row],[Vigencia OR]])</f>
        <v>46205</v>
      </c>
      <c r="O18" s="104">
        <f ca="1">+tiempos[[#This Row],[Plazo de la conexión (sin prorroga)]]+90</f>
        <v>46295</v>
      </c>
      <c r="P18" s="7"/>
    </row>
    <row r="19" spans="1:16" x14ac:dyDescent="0.25">
      <c r="A19">
        <f>'ESTADO SOLICITUDES'!A19</f>
        <v>13</v>
      </c>
      <c r="B19" t="str">
        <f>'ESTADO SOLICITUDES'!B19</f>
        <v>Delta 1</v>
      </c>
      <c r="C19" t="str">
        <f>'ESTADO SOLICITUDES'!T19</f>
        <v>Espera</v>
      </c>
      <c r="D19" s="85">
        <f>'ESTADO SOLICITUDES'!K19</f>
        <v>2762</v>
      </c>
      <c r="E19" s="7">
        <f>'ESTADO SOLICITUDES'!J19</f>
        <v>45561</v>
      </c>
      <c r="F19" s="104">
        <f t="shared" si="0"/>
        <v>45568</v>
      </c>
      <c r="G19" s="104"/>
      <c r="H19" s="7">
        <f>'ESTADO SOLICITUDES'!M19</f>
        <v>0</v>
      </c>
      <c r="I19" s="104">
        <f t="shared" ca="1" si="1"/>
        <v>46016</v>
      </c>
      <c r="J19" s="7">
        <f>+EstadoSolicitudes[[#This Row],[Cargue estudio al OR]]</f>
        <v>45633</v>
      </c>
      <c r="K19" s="104">
        <f t="shared" si="2"/>
        <v>45646</v>
      </c>
      <c r="M19" s="7">
        <f>+EstadoSolicitudes[[#This Row],[Vigencia]]</f>
        <v>270</v>
      </c>
      <c r="N19" s="104">
        <f>+IF(tiempos[[#This Row],[Vigencia OR]]=0,(tiempos[[#This Row],[Plazo Verificación técnica de la documentación]]+175),tiempos[[#This Row],[Vigencia OR]])</f>
        <v>270</v>
      </c>
      <c r="O19" s="104">
        <f>+tiempos[[#This Row],[Plazo de la conexión (sin prorroga)]]+90</f>
        <v>360</v>
      </c>
      <c r="P19" s="7"/>
    </row>
    <row r="20" spans="1:16" x14ac:dyDescent="0.25">
      <c r="A20">
        <f>'ESTADO SOLICITUDES'!A20</f>
        <v>14</v>
      </c>
      <c r="B20" t="str">
        <f>'ESTADO SOLICITUDES'!B20</f>
        <v>Polaris 1</v>
      </c>
      <c r="C20" t="str">
        <f>'ESTADO SOLICITUDES'!T20</f>
        <v>Espera</v>
      </c>
      <c r="D20" s="85">
        <f>'ESTADO SOLICITUDES'!K20</f>
        <v>2782</v>
      </c>
      <c r="E20" s="7">
        <f>'ESTADO SOLICITUDES'!J20</f>
        <v>45561</v>
      </c>
      <c r="F20" s="104">
        <f t="shared" si="0"/>
        <v>45568</v>
      </c>
      <c r="G20" s="104"/>
      <c r="H20" s="7">
        <f>'ESTADO SOLICITUDES'!M20</f>
        <v>45562</v>
      </c>
      <c r="I20" s="104">
        <f t="shared" ca="1" si="1"/>
        <v>45702</v>
      </c>
      <c r="J20" s="7">
        <f>+EstadoSolicitudes[[#This Row],[Cargue estudio al OR]]</f>
        <v>0</v>
      </c>
      <c r="K20" s="104">
        <f t="shared" ca="1" si="2"/>
        <v>45716</v>
      </c>
      <c r="M20" s="7">
        <f>+EstadoSolicitudes[[#This Row],[Vigencia]]</f>
        <v>46000</v>
      </c>
      <c r="N20" s="104">
        <f>+IF(tiempos[[#This Row],[Vigencia OR]]=0,(tiempos[[#This Row],[Plazo Verificación técnica de la documentación]]+175),tiempos[[#This Row],[Vigencia OR]])</f>
        <v>46000</v>
      </c>
      <c r="O20" s="104">
        <f>+tiempos[[#This Row],[Plazo de la conexión (sin prorroga)]]+90</f>
        <v>46090</v>
      </c>
      <c r="P20" s="7"/>
    </row>
    <row r="21" spans="1:16" x14ac:dyDescent="0.25">
      <c r="A21">
        <f>'ESTADO SOLICITUDES'!A21</f>
        <v>15</v>
      </c>
      <c r="B21" t="str">
        <f>'ESTADO SOLICITUDES'!B21</f>
        <v>Polaris 2</v>
      </c>
      <c r="C21" t="str">
        <f>'ESTADO SOLICITUDES'!T21</f>
        <v>Espera</v>
      </c>
      <c r="D21" s="85">
        <f>'ESTADO SOLICITUDES'!K21</f>
        <v>2783</v>
      </c>
      <c r="E21" s="7">
        <f>'ESTADO SOLICITUDES'!J21</f>
        <v>45561</v>
      </c>
      <c r="F21" s="104">
        <f t="shared" si="0"/>
        <v>45568</v>
      </c>
      <c r="G21" s="104"/>
      <c r="H21" s="7">
        <f>'ESTADO SOLICITUDES'!M21</f>
        <v>45562</v>
      </c>
      <c r="I21" s="104">
        <f t="shared" ca="1" si="1"/>
        <v>45702</v>
      </c>
      <c r="J21" s="7">
        <f>+EstadoSolicitudes[[#This Row],[Cargue estudio al OR]]</f>
        <v>0</v>
      </c>
      <c r="K21" s="104">
        <f t="shared" ca="1" si="2"/>
        <v>45716</v>
      </c>
      <c r="M21" s="7">
        <f>+EstadoSolicitudes[[#This Row],[Vigencia]]</f>
        <v>270</v>
      </c>
      <c r="N21" s="104">
        <f>+IF(tiempos[[#This Row],[Vigencia OR]]=0,(tiempos[[#This Row],[Plazo Verificación técnica de la documentación]]+175),tiempos[[#This Row],[Vigencia OR]])</f>
        <v>270</v>
      </c>
      <c r="O21" s="104">
        <f>+tiempos[[#This Row],[Plazo de la conexión (sin prorroga)]]+90</f>
        <v>360</v>
      </c>
      <c r="P21" s="7"/>
    </row>
    <row r="22" spans="1:16" x14ac:dyDescent="0.25">
      <c r="A22">
        <f>'ESTADO SOLICITUDES'!A22</f>
        <v>16</v>
      </c>
      <c r="B22" t="str">
        <f>'ESTADO SOLICITUDES'!B22</f>
        <v>CES008 - Buena vista</v>
      </c>
      <c r="C22" t="str">
        <f>'ESTADO SOLICITUDES'!T22</f>
        <v>Espera</v>
      </c>
      <c r="D22" s="85">
        <f>'ESTADO SOLICITUDES'!K22</f>
        <v>29534</v>
      </c>
      <c r="E22" s="7">
        <f>'ESTADO SOLICITUDES'!J22</f>
        <v>45564</v>
      </c>
      <c r="F22" s="104">
        <f t="shared" si="0"/>
        <v>45569</v>
      </c>
      <c r="G22" s="104"/>
      <c r="H22" s="7">
        <f>'ESTADO SOLICITUDES'!M22</f>
        <v>45586</v>
      </c>
      <c r="I22" s="104">
        <f t="shared" ca="1" si="1"/>
        <v>45726</v>
      </c>
      <c r="J22" s="7">
        <f>+EstadoSolicitudes[[#This Row],[Cargue estudio al OR]]</f>
        <v>0</v>
      </c>
      <c r="K22" s="104">
        <f t="shared" ca="1" si="2"/>
        <v>45740</v>
      </c>
      <c r="M22" s="7">
        <f>+EstadoSolicitudes[[#This Row],[Vigencia]]</f>
        <v>270</v>
      </c>
      <c r="N22" s="104">
        <f>+IF(tiempos[[#This Row],[Vigencia OR]]=0,(tiempos[[#This Row],[Plazo Verificación técnica de la documentación]]+175),tiempos[[#This Row],[Vigencia OR]])</f>
        <v>270</v>
      </c>
      <c r="O22" s="104">
        <f>+tiempos[[#This Row],[Plazo de la conexión (sin prorroga)]]+90</f>
        <v>360</v>
      </c>
      <c r="P22" s="7"/>
    </row>
    <row r="23" spans="1:16" x14ac:dyDescent="0.25">
      <c r="A23">
        <f>'ESTADO SOLICITUDES'!A23</f>
        <v>17</v>
      </c>
      <c r="B23" t="str">
        <f>'ESTADO SOLICITUDES'!B23</f>
        <v>Cancelado CES004 - Villa Clara</v>
      </c>
      <c r="C23" t="str">
        <f>'ESTADO SOLICITUDES'!T23</f>
        <v>Cancelado</v>
      </c>
      <c r="D23" s="85">
        <f>'ESTADO SOLICITUDES'!K23</f>
        <v>29535</v>
      </c>
      <c r="E23" s="7">
        <f>'ESTADO SOLICITUDES'!J23</f>
        <v>45564</v>
      </c>
      <c r="F23" s="104">
        <f t="shared" si="0"/>
        <v>45569</v>
      </c>
      <c r="G23" s="104"/>
      <c r="H23" s="7">
        <f>'ESTADO SOLICITUDES'!M23</f>
        <v>45576</v>
      </c>
      <c r="I23" s="104">
        <f t="shared" ca="1" si="1"/>
        <v>45716</v>
      </c>
      <c r="J23" s="7">
        <f>+EstadoSolicitudes[[#This Row],[Cargue estudio al OR]]</f>
        <v>0</v>
      </c>
      <c r="K23" s="104">
        <f t="shared" ca="1" si="2"/>
        <v>45730</v>
      </c>
      <c r="M23" s="7">
        <f>+EstadoSolicitudes[[#This Row],[Vigencia]]</f>
        <v>270</v>
      </c>
      <c r="N23" s="104">
        <f>+IF(tiempos[[#This Row],[Vigencia OR]]=0,(tiempos[[#This Row],[Plazo Verificación técnica de la documentación]]+175),tiempos[[#This Row],[Vigencia OR]])</f>
        <v>270</v>
      </c>
      <c r="O23" s="104">
        <f>+tiempos[[#This Row],[Plazo de la conexión (sin prorroga)]]+90</f>
        <v>360</v>
      </c>
      <c r="P23" s="7"/>
    </row>
    <row r="24" spans="1:16" x14ac:dyDescent="0.25">
      <c r="A24">
        <f>'ESTADO SOLICITUDES'!A24</f>
        <v>18</v>
      </c>
      <c r="B24" t="str">
        <f>'ESTADO SOLICITUDES'!B24</f>
        <v>Cancelado CES010 - Villa Karina</v>
      </c>
      <c r="C24" t="str">
        <f>'ESTADO SOLICITUDES'!T24</f>
        <v>Cancelado</v>
      </c>
      <c r="D24" s="85">
        <f>'ESTADO SOLICITUDES'!K24</f>
        <v>29536</v>
      </c>
      <c r="E24" s="7">
        <f>'ESTADO SOLICITUDES'!J24</f>
        <v>45564</v>
      </c>
      <c r="F24" s="104">
        <f t="shared" si="0"/>
        <v>45569</v>
      </c>
      <c r="G24" s="104"/>
      <c r="H24" s="7">
        <f>'ESTADO SOLICITUDES'!M24</f>
        <v>0</v>
      </c>
      <c r="I24" s="104">
        <f t="shared" ca="1" si="1"/>
        <v>46016</v>
      </c>
      <c r="J24" s="7">
        <f>+EstadoSolicitudes[[#This Row],[Cargue estudio al OR]]</f>
        <v>0</v>
      </c>
      <c r="K24" s="104">
        <f t="shared" ca="1" si="2"/>
        <v>46030</v>
      </c>
      <c r="M24" s="7">
        <f>+EstadoSolicitudes[[#This Row],[Vigencia]]</f>
        <v>0</v>
      </c>
      <c r="N24" s="104">
        <f ca="1">+IF(tiempos[[#This Row],[Vigencia OR]]=0,(tiempos[[#This Row],[Plazo Verificación técnica de la documentación]]+175),tiempos[[#This Row],[Vigencia OR]])</f>
        <v>46205</v>
      </c>
      <c r="O24" s="104">
        <f ca="1">+tiempos[[#This Row],[Plazo de la conexión (sin prorroga)]]+90</f>
        <v>46295</v>
      </c>
      <c r="P24" s="7"/>
    </row>
    <row r="25" spans="1:16" x14ac:dyDescent="0.25">
      <c r="A25">
        <f>'ESTADO SOLICITUDES'!A25</f>
        <v>19</v>
      </c>
      <c r="B25" t="str">
        <f>'ESTADO SOLICITUDES'!B25</f>
        <v>Cancelado CAU037 - Topacio</v>
      </c>
      <c r="C25" t="str">
        <f>'ESTADO SOLICITUDES'!T25</f>
        <v>Espera</v>
      </c>
      <c r="D25" s="85">
        <f>'ESTADO SOLICITUDES'!K25</f>
        <v>8458128</v>
      </c>
      <c r="E25" s="7">
        <f>'ESTADO SOLICITUDES'!J25</f>
        <v>45573</v>
      </c>
      <c r="F25" s="104">
        <f t="shared" si="0"/>
        <v>45580</v>
      </c>
      <c r="G25" s="104"/>
      <c r="H25" s="7">
        <f>'ESTADO SOLICITUDES'!M25</f>
        <v>0</v>
      </c>
      <c r="I25" s="104">
        <f t="shared" ca="1" si="1"/>
        <v>46016</v>
      </c>
      <c r="J25" s="7">
        <f>+EstadoSolicitudes[[#This Row],[Cargue estudio al OR]]</f>
        <v>0</v>
      </c>
      <c r="K25" s="104">
        <f t="shared" ca="1" si="2"/>
        <v>46030</v>
      </c>
      <c r="M25" s="7">
        <f>+EstadoSolicitudes[[#This Row],[Vigencia]]</f>
        <v>0</v>
      </c>
      <c r="N25" s="104">
        <f ca="1">+IF(tiempos[[#This Row],[Vigencia OR]]=0,(tiempos[[#This Row],[Plazo Verificación técnica de la documentación]]+175),tiempos[[#This Row],[Vigencia OR]])</f>
        <v>46205</v>
      </c>
      <c r="O25" s="104">
        <f ca="1">+tiempos[[#This Row],[Plazo de la conexión (sin prorroga)]]+90</f>
        <v>46295</v>
      </c>
      <c r="P25" s="7"/>
    </row>
    <row r="26" spans="1:16" x14ac:dyDescent="0.25">
      <c r="A26">
        <f>'ESTADO SOLICITUDES'!A26</f>
        <v>20</v>
      </c>
      <c r="B26" t="str">
        <f>'ESTADO SOLICITUDES'!B26</f>
        <v>CAU028 - Villa Cristina</v>
      </c>
      <c r="C26" t="str">
        <f>'ESTADO SOLICITUDES'!T26</f>
        <v>Espera</v>
      </c>
      <c r="D26" s="85">
        <f>'ESTADO SOLICITUDES'!K26</f>
        <v>8458138</v>
      </c>
      <c r="E26" s="7">
        <f>'ESTADO SOLICITUDES'!J26</f>
        <v>45573</v>
      </c>
      <c r="F26" s="104">
        <f t="shared" si="0"/>
        <v>45580</v>
      </c>
      <c r="G26" s="104"/>
      <c r="H26" s="7">
        <f>'ESTADO SOLICITUDES'!M26</f>
        <v>45608</v>
      </c>
      <c r="I26" s="104">
        <f t="shared" ca="1" si="1"/>
        <v>45748</v>
      </c>
      <c r="J26" s="7">
        <f>+EstadoSolicitudes[[#This Row],[Cargue estudio al OR]]</f>
        <v>45726</v>
      </c>
      <c r="K26" s="104">
        <f t="shared" si="2"/>
        <v>45740</v>
      </c>
      <c r="M26" s="7">
        <f>+EstadoSolicitudes[[#This Row],[Vigencia]]</f>
        <v>270</v>
      </c>
      <c r="N26" s="104">
        <f>+IF(tiempos[[#This Row],[Vigencia OR]]=0,(tiempos[[#This Row],[Plazo Verificación técnica de la documentación]]+175),tiempos[[#This Row],[Vigencia OR]])</f>
        <v>270</v>
      </c>
      <c r="O26" s="104">
        <f>+tiempos[[#This Row],[Plazo de la conexión (sin prorroga)]]+90</f>
        <v>360</v>
      </c>
      <c r="P26" s="7"/>
    </row>
    <row r="27" spans="1:16" x14ac:dyDescent="0.25">
      <c r="A27">
        <f>'ESTADO SOLICITUDES'!A27</f>
        <v>21</v>
      </c>
      <c r="B27" t="str">
        <f>'ESTADO SOLICITUDES'!B27</f>
        <v>Delta 2</v>
      </c>
      <c r="C27" t="str">
        <f>'ESTADO SOLICITUDES'!T27</f>
        <v>Espera</v>
      </c>
      <c r="D27" s="85">
        <f>'ESTADO SOLICITUDES'!K27</f>
        <v>2861</v>
      </c>
      <c r="E27" s="7">
        <f>'ESTADO SOLICITUDES'!J27</f>
        <v>45567</v>
      </c>
      <c r="F27" s="104">
        <f t="shared" si="0"/>
        <v>45574</v>
      </c>
      <c r="G27" s="104"/>
      <c r="H27" s="7">
        <f>'ESTADO SOLICITUDES'!M27</f>
        <v>45596</v>
      </c>
      <c r="I27" s="104">
        <f t="shared" ca="1" si="1"/>
        <v>45736</v>
      </c>
      <c r="J27" s="7">
        <f>+EstadoSolicitudes[[#This Row],[Cargue estudio al OR]]</f>
        <v>0</v>
      </c>
      <c r="K27" s="104">
        <f t="shared" ca="1" si="2"/>
        <v>45750</v>
      </c>
      <c r="M27" s="7">
        <f>+EstadoSolicitudes[[#This Row],[Vigencia]]</f>
        <v>0</v>
      </c>
      <c r="N27" s="104">
        <f ca="1">+IF(tiempos[[#This Row],[Vigencia OR]]=0,(tiempos[[#This Row],[Plazo Verificación técnica de la documentación]]+175),tiempos[[#This Row],[Vigencia OR]])</f>
        <v>45925</v>
      </c>
      <c r="O27" s="104">
        <f ca="1">+tiempos[[#This Row],[Plazo de la conexión (sin prorroga)]]+90</f>
        <v>46015</v>
      </c>
      <c r="P27" s="7"/>
    </row>
    <row r="28" spans="1:16" x14ac:dyDescent="0.25">
      <c r="A28">
        <f>'ESTADO SOLICITUDES'!A28</f>
        <v>22</v>
      </c>
      <c r="B28" t="str">
        <f>'ESTADO SOLICITUDES'!B28</f>
        <v>Cancelado GUAJ001 - Ramal 1</v>
      </c>
      <c r="C28" s="1" t="str">
        <f>'ESTADO SOLICITUDES'!T28</f>
        <v>Cancelado</v>
      </c>
      <c r="D28" s="85">
        <f>'ESTADO SOLICITUDES'!K28</f>
        <v>0</v>
      </c>
      <c r="E28" s="7">
        <f>'ESTADO SOLICITUDES'!J28</f>
        <v>45576</v>
      </c>
      <c r="F28" s="104">
        <f t="shared" si="0"/>
        <v>45583</v>
      </c>
      <c r="G28" s="104"/>
      <c r="H28" s="7">
        <f>'ESTADO SOLICITUDES'!M28</f>
        <v>0</v>
      </c>
      <c r="I28" s="104">
        <f t="shared" ca="1" si="1"/>
        <v>46016</v>
      </c>
      <c r="J28" s="7">
        <f>+EstadoSolicitudes[[#This Row],[Cargue estudio al OR]]</f>
        <v>0</v>
      </c>
      <c r="K28" s="104">
        <f t="shared" ca="1" si="2"/>
        <v>46030</v>
      </c>
      <c r="M28" s="7">
        <f>+EstadoSolicitudes[[#This Row],[Vigencia]]</f>
        <v>0</v>
      </c>
      <c r="N28" s="104">
        <f ca="1">+IF(tiempos[[#This Row],[Vigencia OR]]=0,(tiempos[[#This Row],[Plazo Verificación técnica de la documentación]]+175),tiempos[[#This Row],[Vigencia OR]])</f>
        <v>46205</v>
      </c>
      <c r="O28" s="104">
        <f ca="1">+tiempos[[#This Row],[Plazo de la conexión (sin prorroga)]]+90</f>
        <v>46295</v>
      </c>
      <c r="P28" s="7"/>
    </row>
    <row r="29" spans="1:16" x14ac:dyDescent="0.25">
      <c r="A29">
        <f>'ESTADO SOLICITUDES'!A29</f>
        <v>23</v>
      </c>
      <c r="B29" t="str">
        <f>'ESTADO SOLICITUDES'!B29</f>
        <v>CAU006 - Limoncito</v>
      </c>
      <c r="C29" t="str">
        <f>'ESTADO SOLICITUDES'!T29</f>
        <v>Espera</v>
      </c>
      <c r="D29" s="85">
        <f>'ESTADO SOLICITUDES'!K29</f>
        <v>0</v>
      </c>
      <c r="E29" s="7">
        <f>'ESTADO SOLICITUDES'!J29</f>
        <v>45590</v>
      </c>
      <c r="F29" s="104">
        <f t="shared" si="0"/>
        <v>45597</v>
      </c>
      <c r="G29" s="104"/>
      <c r="H29" s="7">
        <f>'ESTADO SOLICITUDES'!M29</f>
        <v>45596</v>
      </c>
      <c r="I29" s="104">
        <f t="shared" ca="1" si="1"/>
        <v>45736</v>
      </c>
      <c r="J29" s="7">
        <f>+EstadoSolicitudes[[#This Row],[Cargue estudio al OR]]</f>
        <v>0</v>
      </c>
      <c r="K29" s="104">
        <f t="shared" ca="1" si="2"/>
        <v>45750</v>
      </c>
      <c r="M29" s="7">
        <f>+EstadoSolicitudes[[#This Row],[Vigencia]]</f>
        <v>270</v>
      </c>
      <c r="N29" s="104">
        <f>+IF(tiempos[[#This Row],[Vigencia OR]]=0,(tiempos[[#This Row],[Plazo Verificación técnica de la documentación]]+175),tiempos[[#This Row],[Vigencia OR]])</f>
        <v>270</v>
      </c>
      <c r="O29" s="104">
        <f>+tiempos[[#This Row],[Plazo de la conexión (sin prorroga)]]+90</f>
        <v>360</v>
      </c>
      <c r="P29" s="7"/>
    </row>
    <row r="30" spans="1:16" x14ac:dyDescent="0.25">
      <c r="A30">
        <f>'ESTADO SOLICITUDES'!A30</f>
        <v>24</v>
      </c>
      <c r="B30" t="str">
        <f>'ESTADO SOLICITUDES'!B30</f>
        <v>CES006 - Nebula 2</v>
      </c>
      <c r="C30" t="str">
        <f>'ESTADO SOLICITUDES'!T30</f>
        <v>Espera</v>
      </c>
      <c r="D30" s="85">
        <f>'ESTADO SOLICITUDES'!K30</f>
        <v>30045</v>
      </c>
      <c r="E30" s="7">
        <f>'ESTADO SOLICITUDES'!J30</f>
        <v>45581</v>
      </c>
      <c r="F30" s="104">
        <f t="shared" si="0"/>
        <v>45588</v>
      </c>
      <c r="G30" s="104"/>
      <c r="H30" s="7">
        <f>'ESTADO SOLICITUDES'!M30</f>
        <v>45596</v>
      </c>
      <c r="I30" s="104">
        <f t="shared" ca="1" si="1"/>
        <v>45736</v>
      </c>
      <c r="J30" s="7">
        <f>+EstadoSolicitudes[[#This Row],[Cargue estudio al OR]]</f>
        <v>0</v>
      </c>
      <c r="K30" s="104">
        <f t="shared" ca="1" si="2"/>
        <v>45750</v>
      </c>
      <c r="M30" s="7">
        <f>+EstadoSolicitudes[[#This Row],[Vigencia]]</f>
        <v>270</v>
      </c>
      <c r="N30" s="104">
        <f>+IF(tiempos[[#This Row],[Vigencia OR]]=0,(tiempos[[#This Row],[Plazo Verificación técnica de la documentación]]+175),tiempos[[#This Row],[Vigencia OR]])</f>
        <v>270</v>
      </c>
      <c r="O30" s="104">
        <f>+tiempos[[#This Row],[Plazo de la conexión (sin prorroga)]]+90</f>
        <v>360</v>
      </c>
      <c r="P30" s="7"/>
    </row>
    <row r="31" spans="1:16" x14ac:dyDescent="0.25">
      <c r="A31">
        <f>'ESTADO SOLICITUDES'!A31</f>
        <v>25</v>
      </c>
      <c r="B31" t="str">
        <f>'ESTADO SOLICITUDES'!B31</f>
        <v>CES006 - Nebula 3</v>
      </c>
      <c r="C31" t="str">
        <f>'ESTADO SOLICITUDES'!T31</f>
        <v>Espera</v>
      </c>
      <c r="D31" s="85">
        <f>'ESTADO SOLICITUDES'!K31</f>
        <v>30046</v>
      </c>
      <c r="E31" s="7">
        <f>'ESTADO SOLICITUDES'!J31</f>
        <v>45581</v>
      </c>
      <c r="F31" s="104">
        <f t="shared" si="0"/>
        <v>45588</v>
      </c>
      <c r="G31" s="104"/>
      <c r="H31" s="7">
        <f>'ESTADO SOLICITUDES'!M31</f>
        <v>45596</v>
      </c>
      <c r="I31" s="104">
        <f t="shared" ca="1" si="1"/>
        <v>45736</v>
      </c>
      <c r="J31" s="7">
        <f>+EstadoSolicitudes[[#This Row],[Cargue estudio al OR]]</f>
        <v>0</v>
      </c>
      <c r="K31" s="104">
        <f t="shared" ca="1" si="2"/>
        <v>45750</v>
      </c>
      <c r="M31" s="7">
        <f>+EstadoSolicitudes[[#This Row],[Vigencia]]</f>
        <v>270</v>
      </c>
      <c r="N31" s="104">
        <f>+IF(tiempos[[#This Row],[Vigencia OR]]=0,(tiempos[[#This Row],[Plazo Verificación técnica de la documentación]]+175),tiempos[[#This Row],[Vigencia OR]])</f>
        <v>270</v>
      </c>
      <c r="O31" s="104">
        <f>+tiempos[[#This Row],[Plazo de la conexión (sin prorroga)]]+90</f>
        <v>360</v>
      </c>
      <c r="P31" s="7"/>
    </row>
    <row r="32" spans="1:16" x14ac:dyDescent="0.25">
      <c r="A32">
        <f>'ESTADO SOLICITUDES'!A32</f>
        <v>26</v>
      </c>
      <c r="B32" t="str">
        <f>'ESTADO SOLICITUDES'!B32</f>
        <v>Cancelado ATL005-Campeche 2</v>
      </c>
      <c r="C32" t="str">
        <f>'ESTADO SOLICITUDES'!T32</f>
        <v>Cancelado</v>
      </c>
      <c r="D32" s="85">
        <f>'ESTADO SOLICITUDES'!K32</f>
        <v>0</v>
      </c>
      <c r="E32" s="7">
        <f>'ESTADO SOLICITUDES'!J32</f>
        <v>45583</v>
      </c>
      <c r="F32" s="104">
        <f t="shared" si="0"/>
        <v>45590</v>
      </c>
      <c r="G32" s="104"/>
      <c r="H32" s="7">
        <f>'ESTADO SOLICITUDES'!M32</f>
        <v>0</v>
      </c>
      <c r="I32" s="104">
        <f t="shared" ca="1" si="1"/>
        <v>46016</v>
      </c>
      <c r="J32" s="7">
        <f>+EstadoSolicitudes[[#This Row],[Cargue estudio al OR]]</f>
        <v>0</v>
      </c>
      <c r="K32" s="104">
        <f t="shared" ca="1" si="2"/>
        <v>46030</v>
      </c>
      <c r="M32" s="7">
        <f>+EstadoSolicitudes[[#This Row],[Vigencia]]</f>
        <v>0</v>
      </c>
      <c r="N32" s="104">
        <f ca="1">+IF(tiempos[[#This Row],[Vigencia OR]]=0,(tiempos[[#This Row],[Plazo Verificación técnica de la documentación]]+175),tiempos[[#This Row],[Vigencia OR]])</f>
        <v>46205</v>
      </c>
      <c r="O32" s="104">
        <f ca="1">+tiempos[[#This Row],[Plazo de la conexión (sin prorroga)]]+90</f>
        <v>46295</v>
      </c>
      <c r="P32" s="7"/>
    </row>
    <row r="33" spans="1:16" x14ac:dyDescent="0.25">
      <c r="A33">
        <f>'ESTADO SOLICITUDES'!A33</f>
        <v>27</v>
      </c>
      <c r="B33" t="str">
        <f>'ESTADO SOLICITUDES'!B33</f>
        <v>Cancelado ATL005-Campeche 3</v>
      </c>
      <c r="C33" t="str">
        <f>'ESTADO SOLICITUDES'!T33</f>
        <v>Cancelado</v>
      </c>
      <c r="D33" s="85">
        <f>'ESTADO SOLICITUDES'!K33</f>
        <v>0</v>
      </c>
      <c r="E33" s="7">
        <f>'ESTADO SOLICITUDES'!J33</f>
        <v>45583</v>
      </c>
      <c r="F33" s="104">
        <f t="shared" si="0"/>
        <v>45590</v>
      </c>
      <c r="G33" s="104"/>
      <c r="H33" s="7">
        <f>'ESTADO SOLICITUDES'!M33</f>
        <v>0</v>
      </c>
      <c r="I33" s="104">
        <f t="shared" ca="1" si="1"/>
        <v>46016</v>
      </c>
      <c r="J33" s="7">
        <f>+EstadoSolicitudes[[#This Row],[Cargue estudio al OR]]</f>
        <v>0</v>
      </c>
      <c r="K33" s="104">
        <f t="shared" ca="1" si="2"/>
        <v>46030</v>
      </c>
      <c r="M33" s="7">
        <f>+EstadoSolicitudes[[#This Row],[Vigencia]]</f>
        <v>0</v>
      </c>
      <c r="N33" s="104">
        <f ca="1">+IF(tiempos[[#This Row],[Vigencia OR]]=0,(tiempos[[#This Row],[Plazo Verificación técnica de la documentación]]+175),tiempos[[#This Row],[Vigencia OR]])</f>
        <v>46205</v>
      </c>
      <c r="O33" s="104">
        <f ca="1">+tiempos[[#This Row],[Plazo de la conexión (sin prorroga)]]+90</f>
        <v>46295</v>
      </c>
      <c r="P33" s="7"/>
    </row>
    <row r="34" spans="1:16" x14ac:dyDescent="0.25">
      <c r="A34">
        <f>'ESTADO SOLICITUDES'!A34</f>
        <v>28</v>
      </c>
      <c r="B34" t="str">
        <f>'ESTADO SOLICITUDES'!B34</f>
        <v>Cancelado ATL005-Campeche 4</v>
      </c>
      <c r="C34" t="str">
        <f>'ESTADO SOLICITUDES'!T34</f>
        <v>Cancelado</v>
      </c>
      <c r="D34" s="85">
        <f>'ESTADO SOLICITUDES'!K34</f>
        <v>0</v>
      </c>
      <c r="E34" s="7">
        <f>'ESTADO SOLICITUDES'!J34</f>
        <v>45583</v>
      </c>
      <c r="F34" s="104">
        <f t="shared" si="0"/>
        <v>45590</v>
      </c>
      <c r="G34" s="104"/>
      <c r="H34" s="7">
        <f>'ESTADO SOLICITUDES'!M34</f>
        <v>0</v>
      </c>
      <c r="I34" s="104">
        <f t="shared" ca="1" si="1"/>
        <v>46016</v>
      </c>
      <c r="J34" s="7">
        <f>+EstadoSolicitudes[[#This Row],[Cargue estudio al OR]]</f>
        <v>0</v>
      </c>
      <c r="K34" s="104">
        <f t="shared" ca="1" si="2"/>
        <v>46030</v>
      </c>
      <c r="M34" s="7">
        <f>+EstadoSolicitudes[[#This Row],[Vigencia]]</f>
        <v>0</v>
      </c>
      <c r="N34" s="104">
        <f ca="1">+IF(tiempos[[#This Row],[Vigencia OR]]=0,(tiempos[[#This Row],[Plazo Verificación técnica de la documentación]]+175),tiempos[[#This Row],[Vigencia OR]])</f>
        <v>46205</v>
      </c>
      <c r="O34" s="104">
        <f ca="1">+tiempos[[#This Row],[Plazo de la conexión (sin prorroga)]]+90</f>
        <v>46295</v>
      </c>
      <c r="P34" s="7"/>
    </row>
    <row r="35" spans="1:16" x14ac:dyDescent="0.25">
      <c r="A35">
        <f>'ESTADO SOLICITUDES'!A35</f>
        <v>29</v>
      </c>
      <c r="B35" t="str">
        <f>'ESTADO SOLICITUDES'!B35</f>
        <v>RIS002 - La virginia</v>
      </c>
      <c r="C35" t="str">
        <f>'ESTADO SOLICITUDES'!T35</f>
        <v>Espera</v>
      </c>
      <c r="D35" s="85">
        <f>'ESTADO SOLICITUDES'!K35</f>
        <v>12779275</v>
      </c>
      <c r="E35" s="7">
        <f>'ESTADO SOLICITUDES'!J35</f>
        <v>45583</v>
      </c>
      <c r="F35" s="104">
        <f t="shared" si="0"/>
        <v>45590</v>
      </c>
      <c r="G35" s="104"/>
      <c r="H35" s="7">
        <f>'ESTADO SOLICITUDES'!M35</f>
        <v>0</v>
      </c>
      <c r="I35" s="104">
        <f t="shared" ca="1" si="1"/>
        <v>46016</v>
      </c>
      <c r="J35" s="7">
        <f>+EstadoSolicitudes[[#This Row],[Cargue estudio al OR]]</f>
        <v>0</v>
      </c>
      <c r="K35" s="104">
        <f t="shared" ca="1" si="2"/>
        <v>46030</v>
      </c>
      <c r="M35" s="7">
        <f>+EstadoSolicitudes[[#This Row],[Vigencia]]</f>
        <v>0</v>
      </c>
      <c r="N35" s="104">
        <f ca="1">+IF(tiempos[[#This Row],[Vigencia OR]]=0,(tiempos[[#This Row],[Plazo Verificación técnica de la documentación]]+175),tiempos[[#This Row],[Vigencia OR]])</f>
        <v>46205</v>
      </c>
      <c r="O35" s="104">
        <f ca="1">+tiempos[[#This Row],[Plazo de la conexión (sin prorroga)]]+90</f>
        <v>46295</v>
      </c>
      <c r="P35" s="7"/>
    </row>
    <row r="36" spans="1:16" x14ac:dyDescent="0.25">
      <c r="A36">
        <f>'ESTADO SOLICITUDES'!A36</f>
        <v>30</v>
      </c>
      <c r="B36" t="str">
        <f>'ESTADO SOLICITUDES'!B36</f>
        <v>Cancelado ATL002 - Tinajitas 2</v>
      </c>
      <c r="C36" t="str">
        <f>'ESTADO SOLICITUDES'!T36</f>
        <v>Cancelado</v>
      </c>
      <c r="D36" s="85">
        <f>'ESTADO SOLICITUDES'!K36</f>
        <v>21932</v>
      </c>
      <c r="E36" s="7">
        <f>'ESTADO SOLICITUDES'!J36</f>
        <v>45594</v>
      </c>
      <c r="F36" s="104">
        <f t="shared" si="0"/>
        <v>45601</v>
      </c>
      <c r="G36" s="104"/>
      <c r="H36" s="7">
        <f>'ESTADO SOLICITUDES'!M36</f>
        <v>0</v>
      </c>
      <c r="I36" s="104">
        <f t="shared" ca="1" si="1"/>
        <v>46016</v>
      </c>
      <c r="J36" s="7">
        <f>+EstadoSolicitudes[[#This Row],[Cargue estudio al OR]]</f>
        <v>0</v>
      </c>
      <c r="K36" s="104">
        <f t="shared" ca="1" si="2"/>
        <v>46030</v>
      </c>
      <c r="M36" s="7">
        <f>+EstadoSolicitudes[[#This Row],[Vigencia]]</f>
        <v>0</v>
      </c>
      <c r="N36" s="104">
        <f ca="1">+IF(tiempos[[#This Row],[Vigencia OR]]=0,(tiempos[[#This Row],[Plazo Verificación técnica de la documentación]]+175),tiempos[[#This Row],[Vigencia OR]])</f>
        <v>46205</v>
      </c>
      <c r="O36" s="104">
        <f ca="1">+tiempos[[#This Row],[Plazo de la conexión (sin prorroga)]]+90</f>
        <v>46295</v>
      </c>
      <c r="P36" s="7"/>
    </row>
    <row r="37" spans="1:16" x14ac:dyDescent="0.25">
      <c r="A37">
        <f>'ESTADO SOLICITUDES'!A37</f>
        <v>31</v>
      </c>
      <c r="B37" t="str">
        <f>'ESTADO SOLICITUDES'!B37</f>
        <v>Cancelado ATL002 - Tinajitas 3</v>
      </c>
      <c r="C37" t="str">
        <f>'ESTADO SOLICITUDES'!T37</f>
        <v>Cancelado</v>
      </c>
      <c r="D37" s="85">
        <f>'ESTADO SOLICITUDES'!K37</f>
        <v>0</v>
      </c>
      <c r="E37" s="7">
        <f>'ESTADO SOLICITUDES'!J37</f>
        <v>45588</v>
      </c>
      <c r="F37" s="104">
        <f t="shared" si="0"/>
        <v>45595</v>
      </c>
      <c r="G37" s="104"/>
      <c r="H37" s="7">
        <f>'ESTADO SOLICITUDES'!M37</f>
        <v>0</v>
      </c>
      <c r="I37" s="104">
        <f t="shared" ca="1" si="1"/>
        <v>46016</v>
      </c>
      <c r="J37" s="7">
        <f>+EstadoSolicitudes[[#This Row],[Cargue estudio al OR]]</f>
        <v>0</v>
      </c>
      <c r="K37" s="104">
        <f t="shared" ca="1" si="2"/>
        <v>46030</v>
      </c>
      <c r="M37" s="7">
        <f>+EstadoSolicitudes[[#This Row],[Vigencia]]</f>
        <v>0</v>
      </c>
      <c r="N37" s="104">
        <f ca="1">+IF(tiempos[[#This Row],[Vigencia OR]]=0,(tiempos[[#This Row],[Plazo Verificación técnica de la documentación]]+175),tiempos[[#This Row],[Vigencia OR]])</f>
        <v>46205</v>
      </c>
      <c r="O37" s="104">
        <f ca="1">+tiempos[[#This Row],[Plazo de la conexión (sin prorroga)]]+90</f>
        <v>46295</v>
      </c>
      <c r="P37" s="7"/>
    </row>
    <row r="38" spans="1:16" x14ac:dyDescent="0.25">
      <c r="A38">
        <f>'ESTADO SOLICITUDES'!A38</f>
        <v>32</v>
      </c>
      <c r="B38" t="str">
        <f>'ESTADO SOLICITUDES'!B38</f>
        <v>ATL012 - El Pelu 1</v>
      </c>
      <c r="C38" t="str">
        <f>'ESTADO SOLICITUDES'!T38</f>
        <v>Espera</v>
      </c>
      <c r="D38" s="85">
        <f>'ESTADO SOLICITUDES'!K38</f>
        <v>0</v>
      </c>
      <c r="E38" s="7">
        <f>'ESTADO SOLICITUDES'!J38</f>
        <v>45588</v>
      </c>
      <c r="F38" s="104">
        <f t="shared" si="0"/>
        <v>45595</v>
      </c>
      <c r="G38" s="104">
        <v>45621</v>
      </c>
      <c r="H38" s="7">
        <f>'ESTADO SOLICITUDES'!M38</f>
        <v>0</v>
      </c>
      <c r="I38" s="104">
        <f t="shared" ca="1" si="1"/>
        <v>46016</v>
      </c>
      <c r="J38" s="7">
        <f>+EstadoSolicitudes[[#This Row],[Cargue estudio al OR]]</f>
        <v>0</v>
      </c>
      <c r="K38" s="104">
        <f t="shared" ca="1" si="2"/>
        <v>46030</v>
      </c>
      <c r="M38" s="7">
        <f>+EstadoSolicitudes[[#This Row],[Vigencia]]</f>
        <v>0</v>
      </c>
      <c r="N38" s="104">
        <f ca="1">+IF(tiempos[[#This Row],[Vigencia OR]]=0,(tiempos[[#This Row],[Plazo Verificación técnica de la documentación]]+175),tiempos[[#This Row],[Vigencia OR]])</f>
        <v>46205</v>
      </c>
      <c r="O38" s="104">
        <f ca="1">+tiempos[[#This Row],[Plazo de la conexión (sin prorroga)]]+90</f>
        <v>46295</v>
      </c>
      <c r="P38" s="7"/>
    </row>
    <row r="39" spans="1:16" x14ac:dyDescent="0.25">
      <c r="A39">
        <f>'ESTADO SOLICITUDES'!A39</f>
        <v>33</v>
      </c>
      <c r="B39" t="str">
        <f>'ESTADO SOLICITUDES'!B39</f>
        <v>ATL012 - El Pelu 2</v>
      </c>
      <c r="C39" t="str">
        <f>'ESTADO SOLICITUDES'!T39</f>
        <v>Espera</v>
      </c>
      <c r="D39" s="85">
        <f>'ESTADO SOLICITUDES'!K39</f>
        <v>0</v>
      </c>
      <c r="E39" s="7">
        <f>'ESTADO SOLICITUDES'!J39</f>
        <v>45588</v>
      </c>
      <c r="F39" s="104">
        <f t="shared" ref="F39:F70" si="3">WORKDAY(E39,5)</f>
        <v>45595</v>
      </c>
      <c r="G39" s="104">
        <v>45621</v>
      </c>
      <c r="H39" s="7">
        <f>'ESTADO SOLICITUDES'!M39</f>
        <v>0</v>
      </c>
      <c r="I39" s="104">
        <f t="shared" ref="I39:I70" ca="1" si="4">IF(H39=0, TODAY() + 140, H39 + 140)</f>
        <v>46016</v>
      </c>
      <c r="J39" s="7">
        <f>+EstadoSolicitudes[[#This Row],[Cargue estudio al OR]]</f>
        <v>0</v>
      </c>
      <c r="K39" s="104">
        <f t="shared" ref="K39:K70" ca="1" si="5">WORKDAY(IF(J39=0, I39, J39), 10)</f>
        <v>46030</v>
      </c>
      <c r="M39" s="7">
        <f>+EstadoSolicitudes[[#This Row],[Vigencia]]</f>
        <v>0</v>
      </c>
      <c r="N39" s="104">
        <f ca="1">+IF(tiempos[[#This Row],[Vigencia OR]]=0,(tiempos[[#This Row],[Plazo Verificación técnica de la documentación]]+175),tiempos[[#This Row],[Vigencia OR]])</f>
        <v>46205</v>
      </c>
      <c r="O39" s="104">
        <f ca="1">+tiempos[[#This Row],[Plazo de la conexión (sin prorroga)]]+90</f>
        <v>46295</v>
      </c>
      <c r="P39" s="7"/>
    </row>
    <row r="40" spans="1:16" x14ac:dyDescent="0.25">
      <c r="A40">
        <f>'ESTADO SOLICITUDES'!A40</f>
        <v>34</v>
      </c>
      <c r="B40" t="str">
        <f>'ESTADO SOLICITUDES'!B40</f>
        <v>ATL012 - El Pelu 3</v>
      </c>
      <c r="C40" t="str">
        <f>'ESTADO SOLICITUDES'!T40</f>
        <v>Espera</v>
      </c>
      <c r="D40" s="85">
        <f>'ESTADO SOLICITUDES'!K40</f>
        <v>0</v>
      </c>
      <c r="E40" s="7">
        <f>'ESTADO SOLICITUDES'!J40</f>
        <v>45588</v>
      </c>
      <c r="F40" s="104">
        <f t="shared" si="3"/>
        <v>45595</v>
      </c>
      <c r="G40" s="104">
        <v>45621</v>
      </c>
      <c r="H40" s="7">
        <f>'ESTADO SOLICITUDES'!M40</f>
        <v>0</v>
      </c>
      <c r="I40" s="104">
        <f t="shared" ca="1" si="4"/>
        <v>46016</v>
      </c>
      <c r="J40" s="7">
        <f>+EstadoSolicitudes[[#This Row],[Cargue estudio al OR]]</f>
        <v>0</v>
      </c>
      <c r="K40" s="104">
        <f t="shared" ca="1" si="5"/>
        <v>46030</v>
      </c>
      <c r="M40" s="7">
        <f>+EstadoSolicitudes[[#This Row],[Vigencia]]</f>
        <v>0</v>
      </c>
      <c r="N40" s="104">
        <f ca="1">+IF(tiempos[[#This Row],[Vigencia OR]]=0,(tiempos[[#This Row],[Plazo Verificación técnica de la documentación]]+175),tiempos[[#This Row],[Vigencia OR]])</f>
        <v>46205</v>
      </c>
      <c r="O40" s="104">
        <f ca="1">+tiempos[[#This Row],[Plazo de la conexión (sin prorroga)]]+90</f>
        <v>46295</v>
      </c>
      <c r="P40" s="7"/>
    </row>
    <row r="41" spans="1:16" x14ac:dyDescent="0.25">
      <c r="A41">
        <f>'ESTADO SOLICITUDES'!A41</f>
        <v>35</v>
      </c>
      <c r="B41" t="str">
        <f>'ESTADO SOLICITUDES'!B41</f>
        <v>CES008_Buena Vista 2</v>
      </c>
      <c r="C41" t="str">
        <f>'ESTADO SOLICITUDES'!T41</f>
        <v>Espera</v>
      </c>
      <c r="D41" s="85">
        <f>'ESTADO SOLICITUDES'!K41</f>
        <v>30639</v>
      </c>
      <c r="E41" s="7">
        <f>'ESTADO SOLICITUDES'!J41</f>
        <v>45576</v>
      </c>
      <c r="F41" s="104">
        <f t="shared" si="3"/>
        <v>45583</v>
      </c>
      <c r="G41" s="104"/>
      <c r="H41" s="7">
        <f>'ESTADO SOLICITUDES'!M41</f>
        <v>45616</v>
      </c>
      <c r="I41" s="104">
        <f t="shared" ca="1" si="4"/>
        <v>45756</v>
      </c>
      <c r="J41" s="7">
        <f>+EstadoSolicitudes[[#This Row],[Cargue estudio al OR]]</f>
        <v>0</v>
      </c>
      <c r="K41" s="104">
        <f t="shared" ca="1" si="5"/>
        <v>45770</v>
      </c>
      <c r="M41" s="7">
        <f>+EstadoSolicitudes[[#This Row],[Vigencia]]</f>
        <v>270</v>
      </c>
      <c r="N41" s="104">
        <f>+IF(tiempos[[#This Row],[Vigencia OR]]=0,(tiempos[[#This Row],[Plazo Verificación técnica de la documentación]]+175),tiempos[[#This Row],[Vigencia OR]])</f>
        <v>270</v>
      </c>
      <c r="O41" s="104">
        <f>+tiempos[[#This Row],[Plazo de la conexión (sin prorroga)]]+90</f>
        <v>360</v>
      </c>
      <c r="P41" s="7"/>
    </row>
    <row r="42" spans="1:16" x14ac:dyDescent="0.25">
      <c r="A42">
        <f>'ESTADO SOLICITUDES'!A42</f>
        <v>36</v>
      </c>
      <c r="B42" t="str">
        <f>'ESTADO SOLICITUDES'!B42</f>
        <v>CES008_Buena Vista 3</v>
      </c>
      <c r="C42" t="str">
        <f>'ESTADO SOLICITUDES'!T42</f>
        <v>Espera</v>
      </c>
      <c r="D42" s="85">
        <f>'ESTADO SOLICITUDES'!K42</f>
        <v>30640</v>
      </c>
      <c r="E42" s="7">
        <f>'ESTADO SOLICITUDES'!J42</f>
        <v>45576</v>
      </c>
      <c r="F42" s="104">
        <f t="shared" si="3"/>
        <v>45583</v>
      </c>
      <c r="G42" s="104"/>
      <c r="H42" s="7">
        <f>'ESTADO SOLICITUDES'!M42</f>
        <v>45616</v>
      </c>
      <c r="I42" s="104">
        <f t="shared" ca="1" si="4"/>
        <v>45756</v>
      </c>
      <c r="J42" s="7">
        <f>+EstadoSolicitudes[[#This Row],[Cargue estudio al OR]]</f>
        <v>0</v>
      </c>
      <c r="K42" s="104">
        <f t="shared" ca="1" si="5"/>
        <v>45770</v>
      </c>
      <c r="M42" s="7">
        <f>+EstadoSolicitudes[[#This Row],[Vigencia]]</f>
        <v>270</v>
      </c>
      <c r="N42" s="104">
        <f>+IF(tiempos[[#This Row],[Vigencia OR]]=0,(tiempos[[#This Row],[Plazo Verificación técnica de la documentación]]+175),tiempos[[#This Row],[Vigencia OR]])</f>
        <v>270</v>
      </c>
      <c r="O42" s="104">
        <f>+tiempos[[#This Row],[Plazo de la conexión (sin prorroga)]]+90</f>
        <v>360</v>
      </c>
      <c r="P42" s="7"/>
    </row>
    <row r="43" spans="1:16" x14ac:dyDescent="0.25">
      <c r="A43">
        <f>'ESTADO SOLICITUDES'!A43</f>
        <v>37</v>
      </c>
      <c r="B43" t="str">
        <f>'ESTADO SOLICITUDES'!B43</f>
        <v>NAR023_Conchita</v>
      </c>
      <c r="C43" t="str">
        <f>'ESTADO SOLICITUDES'!T43</f>
        <v>Espera</v>
      </c>
      <c r="D43" s="85">
        <f>'ESTADO SOLICITUDES'!K43</f>
        <v>3062</v>
      </c>
      <c r="E43" s="7">
        <f>'ESTADO SOLICITUDES'!J43</f>
        <v>45601</v>
      </c>
      <c r="F43" s="104">
        <f t="shared" si="3"/>
        <v>45608</v>
      </c>
      <c r="G43" s="104">
        <v>45621</v>
      </c>
      <c r="H43" s="7">
        <f>'ESTADO SOLICITUDES'!M43</f>
        <v>45622</v>
      </c>
      <c r="I43" s="104">
        <f t="shared" ca="1" si="4"/>
        <v>45762</v>
      </c>
      <c r="J43" s="7">
        <f>+EstadoSolicitudes[[#This Row],[Cargue estudio al OR]]</f>
        <v>0</v>
      </c>
      <c r="K43" s="104">
        <f t="shared" ca="1" si="5"/>
        <v>45776</v>
      </c>
      <c r="M43" s="7">
        <f>+EstadoSolicitudes[[#This Row],[Vigencia]]</f>
        <v>0</v>
      </c>
      <c r="N43" s="104">
        <f ca="1">+IF(tiempos[[#This Row],[Vigencia OR]]=0,(tiempos[[#This Row],[Plazo Verificación técnica de la documentación]]+175),tiempos[[#This Row],[Vigencia OR]])</f>
        <v>45951</v>
      </c>
      <c r="O43" s="104">
        <f ca="1">+tiempos[[#This Row],[Plazo de la conexión (sin prorroga)]]+90</f>
        <v>46041</v>
      </c>
      <c r="P43" s="7"/>
    </row>
    <row r="44" spans="1:16" x14ac:dyDescent="0.25">
      <c r="A44">
        <f>'ESTADO SOLICITUDES'!A44</f>
        <v>38</v>
      </c>
      <c r="B44" t="str">
        <f>'ESTADO SOLICITUDES'!B44</f>
        <v xml:space="preserve"> NAR015_VillaSantaAnita</v>
      </c>
      <c r="C44" t="str">
        <f>'ESTADO SOLICITUDES'!T44</f>
        <v>Espera</v>
      </c>
      <c r="D44" s="85">
        <f>'ESTADO SOLICITUDES'!K44</f>
        <v>3063</v>
      </c>
      <c r="E44" s="7">
        <f>'ESTADO SOLICITUDES'!J44</f>
        <v>45601</v>
      </c>
      <c r="F44" s="104">
        <f t="shared" si="3"/>
        <v>45608</v>
      </c>
      <c r="G44" s="104">
        <v>45621</v>
      </c>
      <c r="H44" s="7">
        <f>'ESTADO SOLICITUDES'!M44</f>
        <v>45622</v>
      </c>
      <c r="I44" s="104">
        <f t="shared" ca="1" si="4"/>
        <v>45762</v>
      </c>
      <c r="J44" s="7">
        <f>+EstadoSolicitudes[[#This Row],[Cargue estudio al OR]]</f>
        <v>0</v>
      </c>
      <c r="K44" s="104">
        <f t="shared" ca="1" si="5"/>
        <v>45776</v>
      </c>
      <c r="M44" s="7">
        <f>+EstadoSolicitudes[[#This Row],[Vigencia]]</f>
        <v>0</v>
      </c>
      <c r="N44" s="104">
        <f ca="1">+IF(tiempos[[#This Row],[Vigencia OR]]=0,(tiempos[[#This Row],[Plazo Verificación técnica de la documentación]]+175),tiempos[[#This Row],[Vigencia OR]])</f>
        <v>45951</v>
      </c>
      <c r="O44" s="104">
        <f ca="1">+tiempos[[#This Row],[Plazo de la conexión (sin prorroga)]]+90</f>
        <v>46041</v>
      </c>
      <c r="P44" s="7"/>
    </row>
    <row r="45" spans="1:16" x14ac:dyDescent="0.25">
      <c r="A45">
        <f>'ESTADO SOLICITUDES'!A45</f>
        <v>39</v>
      </c>
      <c r="B45" t="str">
        <f>'ESTADO SOLICITUDES'!B45</f>
        <v>Cancelado CES006_NEBULA 4</v>
      </c>
      <c r="C45" t="str">
        <f>'ESTADO SOLICITUDES'!T45</f>
        <v>Cancelado</v>
      </c>
      <c r="D45" s="85">
        <f>'ESTADO SOLICITUDES'!K45</f>
        <v>30747</v>
      </c>
      <c r="E45" s="7">
        <f>'ESTADO SOLICITUDES'!J45</f>
        <v>45603</v>
      </c>
      <c r="F45" s="104">
        <f t="shared" si="3"/>
        <v>45610</v>
      </c>
      <c r="G45" s="104"/>
      <c r="H45" s="7">
        <f>'ESTADO SOLICITUDES'!M45</f>
        <v>0</v>
      </c>
      <c r="I45" s="104">
        <f t="shared" ca="1" si="4"/>
        <v>46016</v>
      </c>
      <c r="J45" s="7">
        <f>+EstadoSolicitudes[[#This Row],[Cargue estudio al OR]]</f>
        <v>0</v>
      </c>
      <c r="K45" s="104">
        <f t="shared" ca="1" si="5"/>
        <v>46030</v>
      </c>
      <c r="M45" s="7">
        <f>+EstadoSolicitudes[[#This Row],[Vigencia]]</f>
        <v>0</v>
      </c>
      <c r="N45" s="104">
        <f ca="1">+IF(tiempos[[#This Row],[Vigencia OR]]=0,(tiempos[[#This Row],[Plazo Verificación técnica de la documentación]]+175),tiempos[[#This Row],[Vigencia OR]])</f>
        <v>46205</v>
      </c>
      <c r="O45" s="104">
        <f ca="1">+tiempos[[#This Row],[Plazo de la conexión (sin prorroga)]]+90</f>
        <v>46295</v>
      </c>
      <c r="P45" s="7"/>
    </row>
    <row r="46" spans="1:16" x14ac:dyDescent="0.25">
      <c r="A46">
        <f>'ESTADO SOLICITUDES'!A46</f>
        <v>40</v>
      </c>
      <c r="B46" t="str">
        <f>'ESTADO SOLICITUDES'!B46</f>
        <v>Cancelado CES006_NEBULA 5</v>
      </c>
      <c r="C46" t="str">
        <f>'ESTADO SOLICITUDES'!T46</f>
        <v>Cancelado</v>
      </c>
      <c r="D46" s="85">
        <f>'ESTADO SOLICITUDES'!K46</f>
        <v>30748</v>
      </c>
      <c r="E46" s="7">
        <f>'ESTADO SOLICITUDES'!J46</f>
        <v>45603</v>
      </c>
      <c r="F46" s="104">
        <f t="shared" si="3"/>
        <v>45610</v>
      </c>
      <c r="G46" s="104"/>
      <c r="H46" s="7">
        <f>'ESTADO SOLICITUDES'!M46</f>
        <v>0</v>
      </c>
      <c r="I46" s="104">
        <f t="shared" ca="1" si="4"/>
        <v>46016</v>
      </c>
      <c r="J46" s="7">
        <f>+EstadoSolicitudes[[#This Row],[Cargue estudio al OR]]</f>
        <v>0</v>
      </c>
      <c r="K46" s="104">
        <f t="shared" ca="1" si="5"/>
        <v>46030</v>
      </c>
      <c r="M46" s="7">
        <f>+EstadoSolicitudes[[#This Row],[Vigencia]]</f>
        <v>0</v>
      </c>
      <c r="N46" s="104">
        <f ca="1">+IF(tiempos[[#This Row],[Vigencia OR]]=0,(tiempos[[#This Row],[Plazo Verificación técnica de la documentación]]+175),tiempos[[#This Row],[Vigencia OR]])</f>
        <v>46205</v>
      </c>
      <c r="O46" s="104">
        <f ca="1">+tiempos[[#This Row],[Plazo de la conexión (sin prorroga)]]+90</f>
        <v>46295</v>
      </c>
      <c r="P46" s="7"/>
    </row>
    <row r="47" spans="1:16" x14ac:dyDescent="0.25">
      <c r="A47">
        <f>'ESTADO SOLICITUDES'!A47</f>
        <v>41</v>
      </c>
      <c r="B47" t="str">
        <f>'ESTADO SOLICITUDES'!B47</f>
        <v>VAL004_ElTrebol</v>
      </c>
      <c r="C47" t="str">
        <f>'ESTADO SOLICITUDES'!T47</f>
        <v>Espera</v>
      </c>
      <c r="D47" s="85">
        <f>'ESTADO SOLICITUDES'!K47</f>
        <v>0</v>
      </c>
      <c r="E47" s="7">
        <f>'ESTADO SOLICITUDES'!J47</f>
        <v>45603</v>
      </c>
      <c r="F47" s="104">
        <f t="shared" si="3"/>
        <v>45610</v>
      </c>
      <c r="G47" s="104"/>
      <c r="H47" s="7">
        <f>'ESTADO SOLICITUDES'!M47</f>
        <v>45615</v>
      </c>
      <c r="I47" s="104">
        <f t="shared" ca="1" si="4"/>
        <v>45755</v>
      </c>
      <c r="J47" s="7">
        <f>+EstadoSolicitudes[[#This Row],[Cargue estudio al OR]]</f>
        <v>0</v>
      </c>
      <c r="K47" s="104">
        <f t="shared" ca="1" si="5"/>
        <v>45769</v>
      </c>
      <c r="M47" s="7">
        <f>+EstadoSolicitudes[[#This Row],[Vigencia]]</f>
        <v>0</v>
      </c>
      <c r="N47" s="104">
        <f ca="1">+IF(tiempos[[#This Row],[Vigencia OR]]=0,(tiempos[[#This Row],[Plazo Verificación técnica de la documentación]]+175),tiempos[[#This Row],[Vigencia OR]])</f>
        <v>45944</v>
      </c>
      <c r="O47" s="104">
        <f ca="1">+tiempos[[#This Row],[Plazo de la conexión (sin prorroga)]]+90</f>
        <v>46034</v>
      </c>
      <c r="P47" s="7"/>
    </row>
    <row r="48" spans="1:16" x14ac:dyDescent="0.25">
      <c r="A48">
        <f>'ESTADO SOLICITUDES'!A48</f>
        <v>42</v>
      </c>
      <c r="B48" t="str">
        <f>'ESTADO SOLICITUDES'!B48</f>
        <v>Val003 - Sevilla</v>
      </c>
      <c r="C48" t="str">
        <f>'ESTADO SOLICITUDES'!T48</f>
        <v>Espera</v>
      </c>
      <c r="D48" s="85">
        <f>'ESTADO SOLICITUDES'!K48</f>
        <v>0</v>
      </c>
      <c r="E48" s="7">
        <f>'ESTADO SOLICITUDES'!J48</f>
        <v>45603</v>
      </c>
      <c r="F48" s="104">
        <f t="shared" si="3"/>
        <v>45610</v>
      </c>
      <c r="G48" s="104"/>
      <c r="H48" s="7">
        <f>'ESTADO SOLICITUDES'!M48</f>
        <v>45615</v>
      </c>
      <c r="I48" s="104">
        <f t="shared" ca="1" si="4"/>
        <v>45755</v>
      </c>
      <c r="J48" s="7">
        <f>+EstadoSolicitudes[[#This Row],[Cargue estudio al OR]]</f>
        <v>0</v>
      </c>
      <c r="K48" s="104">
        <f t="shared" ca="1" si="5"/>
        <v>45769</v>
      </c>
      <c r="M48" s="7">
        <f>+EstadoSolicitudes[[#This Row],[Vigencia]]</f>
        <v>0</v>
      </c>
      <c r="N48" s="104">
        <f ca="1">+IF(tiempos[[#This Row],[Vigencia OR]]=0,(tiempos[[#This Row],[Plazo Verificación técnica de la documentación]]+175),tiempos[[#This Row],[Vigencia OR]])</f>
        <v>45944</v>
      </c>
      <c r="O48" s="104">
        <f ca="1">+tiempos[[#This Row],[Plazo de la conexión (sin prorroga)]]+90</f>
        <v>46034</v>
      </c>
      <c r="P48" s="7"/>
    </row>
    <row r="49" spans="1:16" x14ac:dyDescent="0.25">
      <c r="A49">
        <f>'ESTADO SOLICITUDES'!A49</f>
        <v>43</v>
      </c>
      <c r="B49" t="str">
        <f>'ESTADO SOLICITUDES'!B49</f>
        <v>CAU006 - Limoncito 2</v>
      </c>
      <c r="C49" t="str">
        <f>'ESTADO SOLICITUDES'!T49</f>
        <v>Espera</v>
      </c>
      <c r="D49" s="85">
        <f>'ESTADO SOLICITUDES'!K49</f>
        <v>9097759</v>
      </c>
      <c r="E49" s="7">
        <f>'ESTADO SOLICITUDES'!J49</f>
        <v>45612</v>
      </c>
      <c r="F49" s="104">
        <f t="shared" si="3"/>
        <v>45618</v>
      </c>
      <c r="G49" s="104">
        <v>45621</v>
      </c>
      <c r="H49" s="7">
        <f>'ESTADO SOLICITUDES'!M49</f>
        <v>45622</v>
      </c>
      <c r="I49" s="104">
        <f t="shared" ca="1" si="4"/>
        <v>45762</v>
      </c>
      <c r="J49" s="7">
        <f>+EstadoSolicitudes[[#This Row],[Cargue estudio al OR]]</f>
        <v>0</v>
      </c>
      <c r="K49" s="104">
        <f t="shared" ca="1" si="5"/>
        <v>45776</v>
      </c>
      <c r="M49" s="7">
        <f>+EstadoSolicitudes[[#This Row],[Vigencia]]</f>
        <v>0</v>
      </c>
      <c r="N49" s="104">
        <f ca="1">+IF(tiempos[[#This Row],[Vigencia OR]]=0,(tiempos[[#This Row],[Plazo Verificación técnica de la documentación]]+175),tiempos[[#This Row],[Vigencia OR]])</f>
        <v>45951</v>
      </c>
      <c r="O49" s="104">
        <f ca="1">+tiempos[[#This Row],[Plazo de la conexión (sin prorroga)]]+90</f>
        <v>46041</v>
      </c>
      <c r="P49" s="7"/>
    </row>
    <row r="50" spans="1:16" x14ac:dyDescent="0.25">
      <c r="A50">
        <f>'ESTADO SOLICITUDES'!A50</f>
        <v>44</v>
      </c>
      <c r="B50" t="str">
        <f>'ESTADO SOLICITUDES'!B50</f>
        <v>Cancelado CAU028_VillaCristina 2</v>
      </c>
      <c r="C50" t="str">
        <f>'ESTADO SOLICITUDES'!T50</f>
        <v>Espera</v>
      </c>
      <c r="D50" s="85" t="str">
        <f>'ESTADO SOLICITUDES'!K50</f>
        <v>9739209</v>
      </c>
      <c r="E50" s="7">
        <f>'ESTADO SOLICITUDES'!J50</f>
        <v>45612</v>
      </c>
      <c r="F50" s="104">
        <f t="shared" si="3"/>
        <v>45618</v>
      </c>
      <c r="G50" s="104">
        <v>45621</v>
      </c>
      <c r="H50" s="7">
        <f>'ESTADO SOLICITUDES'!M50</f>
        <v>45643</v>
      </c>
      <c r="I50" s="104">
        <f t="shared" ca="1" si="4"/>
        <v>45783</v>
      </c>
      <c r="J50" s="7">
        <f>+EstadoSolicitudes[[#This Row],[Cargue estudio al OR]]</f>
        <v>45727</v>
      </c>
      <c r="K50" s="104">
        <f t="shared" si="5"/>
        <v>45741</v>
      </c>
      <c r="M50" s="7">
        <f>+EstadoSolicitudes[[#This Row],[Vigencia]]</f>
        <v>0</v>
      </c>
      <c r="N50" s="104">
        <f>+IF(tiempos[[#This Row],[Vigencia OR]]=0,(tiempos[[#This Row],[Plazo Verificación técnica de la documentación]]+175),tiempos[[#This Row],[Vigencia OR]])</f>
        <v>45916</v>
      </c>
      <c r="O50" s="104">
        <f>+tiempos[[#This Row],[Plazo de la conexión (sin prorroga)]]+90</f>
        <v>46006</v>
      </c>
      <c r="P50" s="7"/>
    </row>
    <row r="51" spans="1:16" x14ac:dyDescent="0.25">
      <c r="A51">
        <f>'ESTADO SOLICITUDES'!A51</f>
        <v>45</v>
      </c>
      <c r="B51" t="str">
        <f>'ESTADO SOLICITUDES'!B51</f>
        <v>CAU037_ElTopacio</v>
      </c>
      <c r="C51" t="str">
        <f>'ESTADO SOLICITUDES'!T51</f>
        <v>Espera</v>
      </c>
      <c r="D51" s="85">
        <f>'ESTADO SOLICITUDES'!K51</f>
        <v>9187734</v>
      </c>
      <c r="E51" s="7">
        <f>'ESTADO SOLICITUDES'!J51</f>
        <v>45614</v>
      </c>
      <c r="F51" s="104">
        <f t="shared" si="3"/>
        <v>45621</v>
      </c>
      <c r="G51" s="104">
        <v>45617</v>
      </c>
      <c r="H51" s="7">
        <f>'ESTADO SOLICITUDES'!M51</f>
        <v>0</v>
      </c>
      <c r="I51" s="104">
        <f t="shared" ca="1" si="4"/>
        <v>46016</v>
      </c>
      <c r="J51" s="7">
        <f>+EstadoSolicitudes[[#This Row],[Cargue estudio al OR]]</f>
        <v>0</v>
      </c>
      <c r="K51" s="104">
        <f t="shared" ca="1" si="5"/>
        <v>46030</v>
      </c>
      <c r="M51" s="7">
        <f>+EstadoSolicitudes[[#This Row],[Vigencia]]</f>
        <v>0</v>
      </c>
      <c r="N51" s="104">
        <f ca="1">+IF(tiempos[[#This Row],[Vigencia OR]]=0,(tiempos[[#This Row],[Plazo Verificación técnica de la documentación]]+175),tiempos[[#This Row],[Vigencia OR]])</f>
        <v>46205</v>
      </c>
      <c r="O51" s="104">
        <f ca="1">+tiempos[[#This Row],[Plazo de la conexión (sin prorroga)]]+90</f>
        <v>46295</v>
      </c>
      <c r="P51" s="7"/>
    </row>
    <row r="52" spans="1:16" x14ac:dyDescent="0.25">
      <c r="A52">
        <f>'ESTADO SOLICITUDES'!A52</f>
        <v>46</v>
      </c>
      <c r="B52" t="str">
        <f>'ESTADO SOLICITUDES'!B52</f>
        <v>NAR015_Villa Santa Anita 2</v>
      </c>
      <c r="C52" t="str">
        <f>'ESTADO SOLICITUDES'!T52</f>
        <v>Espera</v>
      </c>
      <c r="D52" s="85">
        <f>'ESTADO SOLICITUDES'!K52</f>
        <v>3121</v>
      </c>
      <c r="E52" s="7">
        <f>'ESTADO SOLICITUDES'!J52</f>
        <v>45614</v>
      </c>
      <c r="F52" s="104">
        <f t="shared" si="3"/>
        <v>45621</v>
      </c>
      <c r="G52" s="104">
        <v>45621</v>
      </c>
      <c r="H52" s="7">
        <f>'ESTADO SOLICITUDES'!M52</f>
        <v>45630</v>
      </c>
      <c r="I52" s="104">
        <f t="shared" ca="1" si="4"/>
        <v>45770</v>
      </c>
      <c r="J52" s="7">
        <f>+EstadoSolicitudes[[#This Row],[Cargue estudio al OR]]</f>
        <v>0</v>
      </c>
      <c r="K52" s="104">
        <f t="shared" ca="1" si="5"/>
        <v>45784</v>
      </c>
      <c r="M52" s="7">
        <f>+EstadoSolicitudes[[#This Row],[Vigencia]]</f>
        <v>0</v>
      </c>
      <c r="N52" s="104">
        <f ca="1">+IF(tiempos[[#This Row],[Vigencia OR]]=0,(tiempos[[#This Row],[Plazo Verificación técnica de la documentación]]+175),tiempos[[#This Row],[Vigencia OR]])</f>
        <v>45959</v>
      </c>
      <c r="O52" s="104">
        <f ca="1">+tiempos[[#This Row],[Plazo de la conexión (sin prorroga)]]+90</f>
        <v>46049</v>
      </c>
      <c r="P52" s="7"/>
    </row>
    <row r="53" spans="1:16" x14ac:dyDescent="0.25">
      <c r="A53">
        <f>'ESTADO SOLICITUDES'!A53</f>
        <v>47</v>
      </c>
      <c r="B53" t="str">
        <f>'ESTADO SOLICITUDES'!B53</f>
        <v>CES006_NEBULA 4</v>
      </c>
      <c r="C53" t="str">
        <f>'ESTADO SOLICITUDES'!T53</f>
        <v>Espera</v>
      </c>
      <c r="D53" s="85">
        <f>'ESTADO SOLICITUDES'!K53</f>
        <v>31014</v>
      </c>
      <c r="E53" s="7">
        <f>'ESTADO SOLICITUDES'!J53</f>
        <v>45616</v>
      </c>
      <c r="F53" s="104">
        <f t="shared" si="3"/>
        <v>45623</v>
      </c>
      <c r="G53" s="104">
        <v>45625</v>
      </c>
      <c r="H53" s="7">
        <f>'ESTADO SOLICITUDES'!M53</f>
        <v>45625</v>
      </c>
      <c r="I53" s="104">
        <f t="shared" ca="1" si="4"/>
        <v>45765</v>
      </c>
      <c r="J53" s="7">
        <f>+EstadoSolicitudes[[#This Row],[Cargue estudio al OR]]</f>
        <v>0</v>
      </c>
      <c r="K53" s="104">
        <f t="shared" ca="1" si="5"/>
        <v>45779</v>
      </c>
      <c r="M53" s="7">
        <f>+EstadoSolicitudes[[#This Row],[Vigencia]]</f>
        <v>0</v>
      </c>
      <c r="N53" s="104">
        <f ca="1">+IF(tiempos[[#This Row],[Vigencia OR]]=0,(tiempos[[#This Row],[Plazo Verificación técnica de la documentación]]+175),tiempos[[#This Row],[Vigencia OR]])</f>
        <v>45954</v>
      </c>
      <c r="O53" s="104">
        <f ca="1">+tiempos[[#This Row],[Plazo de la conexión (sin prorroga)]]+90</f>
        <v>46044</v>
      </c>
      <c r="P53" s="7"/>
    </row>
    <row r="54" spans="1:16" x14ac:dyDescent="0.25">
      <c r="A54">
        <f>'ESTADO SOLICITUDES'!A54</f>
        <v>48</v>
      </c>
      <c r="B54" t="str">
        <f>'ESTADO SOLICITUDES'!B54</f>
        <v>CES006_NEBULA 5</v>
      </c>
      <c r="C54" t="str">
        <f>'ESTADO SOLICITUDES'!T54</f>
        <v>Espera</v>
      </c>
      <c r="D54" s="85">
        <f>'ESTADO SOLICITUDES'!K54</f>
        <v>31016</v>
      </c>
      <c r="E54" s="7">
        <f>'ESTADO SOLICITUDES'!J54</f>
        <v>45616</v>
      </c>
      <c r="F54" s="104">
        <f t="shared" si="3"/>
        <v>45623</v>
      </c>
      <c r="G54" s="104">
        <v>45625</v>
      </c>
      <c r="H54" s="7">
        <f>'ESTADO SOLICITUDES'!M54</f>
        <v>45625</v>
      </c>
      <c r="I54" s="104">
        <f t="shared" ca="1" si="4"/>
        <v>45765</v>
      </c>
      <c r="J54" s="7">
        <f>+EstadoSolicitudes[[#This Row],[Cargue estudio al OR]]</f>
        <v>0</v>
      </c>
      <c r="K54" s="104">
        <f t="shared" ca="1" si="5"/>
        <v>45779</v>
      </c>
      <c r="M54" s="7">
        <f>+EstadoSolicitudes[[#This Row],[Vigencia]]</f>
        <v>0</v>
      </c>
      <c r="N54" s="104">
        <f ca="1">+IF(tiempos[[#This Row],[Vigencia OR]]=0,(tiempos[[#This Row],[Plazo Verificación técnica de la documentación]]+175),tiempos[[#This Row],[Vigencia OR]])</f>
        <v>45954</v>
      </c>
      <c r="O54" s="104">
        <f ca="1">+tiempos[[#This Row],[Plazo de la conexión (sin prorroga)]]+90</f>
        <v>46044</v>
      </c>
      <c r="P54" s="7"/>
    </row>
    <row r="55" spans="1:16" x14ac:dyDescent="0.25">
      <c r="A55">
        <f>'ESTADO SOLICITUDES'!A55</f>
        <v>49</v>
      </c>
      <c r="B55" t="str">
        <f>'ESTADO SOLICITUDES'!B55</f>
        <v>ATL002 - Tinajitas 2</v>
      </c>
      <c r="C55" t="str">
        <f>'ESTADO SOLICITUDES'!T55</f>
        <v>Espera</v>
      </c>
      <c r="D55" s="85">
        <f>'ESTADO SOLICITUDES'!K55</f>
        <v>22132</v>
      </c>
      <c r="E55" s="7">
        <f>'ESTADO SOLICITUDES'!J55</f>
        <v>45616</v>
      </c>
      <c r="F55" s="104">
        <f t="shared" si="3"/>
        <v>45623</v>
      </c>
      <c r="G55" s="104">
        <v>45625</v>
      </c>
      <c r="H55" s="7">
        <f>'ESTADO SOLICITUDES'!M55</f>
        <v>45639</v>
      </c>
      <c r="I55" s="104">
        <f t="shared" ca="1" si="4"/>
        <v>45779</v>
      </c>
      <c r="J55" s="7">
        <f>+EstadoSolicitudes[[#This Row],[Cargue estudio al OR]]</f>
        <v>0</v>
      </c>
      <c r="K55" s="104">
        <f t="shared" ca="1" si="5"/>
        <v>45793</v>
      </c>
      <c r="M55" s="7">
        <f>+EstadoSolicitudes[[#This Row],[Vigencia]]</f>
        <v>0</v>
      </c>
      <c r="N55" s="104">
        <f ca="1">+IF(tiempos[[#This Row],[Vigencia OR]]=0,(tiempos[[#This Row],[Plazo Verificación técnica de la documentación]]+175),tiempos[[#This Row],[Vigencia OR]])</f>
        <v>45968</v>
      </c>
      <c r="O55" s="104">
        <f ca="1">+tiempos[[#This Row],[Plazo de la conexión (sin prorroga)]]+90</f>
        <v>46058</v>
      </c>
      <c r="P55" s="7"/>
    </row>
    <row r="56" spans="1:16" x14ac:dyDescent="0.25">
      <c r="A56">
        <f>'ESTADO SOLICITUDES'!A56</f>
        <v>50</v>
      </c>
      <c r="B56" t="str">
        <f>'ESTADO SOLICITUDES'!B56</f>
        <v>ATL002 - Tinajitas 3</v>
      </c>
      <c r="C56" t="str">
        <f>'ESTADO SOLICITUDES'!T56</f>
        <v>Espera</v>
      </c>
      <c r="D56" s="85">
        <f>'ESTADO SOLICITUDES'!K56</f>
        <v>22139</v>
      </c>
      <c r="E56" s="7">
        <f>'ESTADO SOLICITUDES'!J56</f>
        <v>45617</v>
      </c>
      <c r="F56" s="104">
        <f t="shared" si="3"/>
        <v>45624</v>
      </c>
      <c r="G56" s="104">
        <v>45625</v>
      </c>
      <c r="H56" s="7">
        <f>'ESTADO SOLICITUDES'!M56</f>
        <v>45639</v>
      </c>
      <c r="I56" s="104">
        <f t="shared" ca="1" si="4"/>
        <v>45779</v>
      </c>
      <c r="J56" s="7">
        <f>+EstadoSolicitudes[[#This Row],[Cargue estudio al OR]]</f>
        <v>0</v>
      </c>
      <c r="K56" s="104">
        <f t="shared" ca="1" si="5"/>
        <v>45793</v>
      </c>
      <c r="M56" s="7">
        <f>+EstadoSolicitudes[[#This Row],[Vigencia]]</f>
        <v>0</v>
      </c>
      <c r="N56" s="104">
        <f ca="1">+IF(tiempos[[#This Row],[Vigencia OR]]=0,(tiempos[[#This Row],[Plazo Verificación técnica de la documentación]]+175),tiempos[[#This Row],[Vigencia OR]])</f>
        <v>45968</v>
      </c>
      <c r="O56" s="104">
        <f ca="1">+tiempos[[#This Row],[Plazo de la conexión (sin prorroga)]]+90</f>
        <v>46058</v>
      </c>
      <c r="P56" s="7"/>
    </row>
    <row r="57" spans="1:16" x14ac:dyDescent="0.25">
      <c r="A57">
        <f>'ESTADO SOLICITUDES'!A57</f>
        <v>51</v>
      </c>
      <c r="B57" t="str">
        <f>'ESTADO SOLICITUDES'!B57</f>
        <v>ATL002 - Tinajitas 4</v>
      </c>
      <c r="C57" t="str">
        <f>'ESTADO SOLICITUDES'!T57</f>
        <v>Espera</v>
      </c>
      <c r="D57" s="85">
        <f>'ESTADO SOLICITUDES'!K57</f>
        <v>22141</v>
      </c>
      <c r="E57" s="7">
        <f>'ESTADO SOLICITUDES'!J57</f>
        <v>45617</v>
      </c>
      <c r="F57" s="104">
        <f t="shared" si="3"/>
        <v>45624</v>
      </c>
      <c r="G57" s="104">
        <v>45625</v>
      </c>
      <c r="H57" s="7">
        <f>'ESTADO SOLICITUDES'!M57</f>
        <v>45639</v>
      </c>
      <c r="I57" s="104">
        <f t="shared" ca="1" si="4"/>
        <v>45779</v>
      </c>
      <c r="J57" s="7">
        <f>+EstadoSolicitudes[[#This Row],[Cargue estudio al OR]]</f>
        <v>0</v>
      </c>
      <c r="K57" s="104">
        <f t="shared" ca="1" si="5"/>
        <v>45793</v>
      </c>
      <c r="M57" s="7">
        <f>+EstadoSolicitudes[[#This Row],[Vigencia]]</f>
        <v>0</v>
      </c>
      <c r="N57" s="104">
        <f ca="1">+IF(tiempos[[#This Row],[Vigencia OR]]=0,(tiempos[[#This Row],[Plazo Verificación técnica de la documentación]]+175),tiempos[[#This Row],[Vigencia OR]])</f>
        <v>45968</v>
      </c>
      <c r="O57" s="104">
        <f ca="1">+tiempos[[#This Row],[Plazo de la conexión (sin prorroga)]]+90</f>
        <v>46058</v>
      </c>
      <c r="P57" s="7"/>
    </row>
    <row r="58" spans="1:16" x14ac:dyDescent="0.25">
      <c r="A58">
        <f>'ESTADO SOLICITUDES'!A58</f>
        <v>52</v>
      </c>
      <c r="B58" t="str">
        <f>'ESTADO SOLICITUDES'!B58</f>
        <v>ATL005-Campeche 2</v>
      </c>
      <c r="C58" t="str">
        <f>'ESTADO SOLICITUDES'!T58</f>
        <v>Espera</v>
      </c>
      <c r="D58" s="85">
        <f>'ESTADO SOLICITUDES'!K58</f>
        <v>22144</v>
      </c>
      <c r="E58" s="7">
        <f>'ESTADO SOLICITUDES'!J58</f>
        <v>45617</v>
      </c>
      <c r="F58" s="104">
        <f t="shared" si="3"/>
        <v>45624</v>
      </c>
      <c r="G58" s="104">
        <v>45625</v>
      </c>
      <c r="H58" s="7">
        <f>'ESTADO SOLICITUDES'!M58</f>
        <v>45639</v>
      </c>
      <c r="I58" s="104">
        <f ca="1">IF(H58=0, TODAY() + 140, H58 + 140)</f>
        <v>45779</v>
      </c>
      <c r="J58" s="7">
        <f>+EstadoSolicitudes[[#This Row],[Cargue estudio al OR]]</f>
        <v>0</v>
      </c>
      <c r="K58" s="104">
        <f t="shared" ca="1" si="5"/>
        <v>45793</v>
      </c>
      <c r="M58" s="7">
        <f>+EstadoSolicitudes[[#This Row],[Vigencia]]</f>
        <v>0</v>
      </c>
      <c r="N58" s="104">
        <f ca="1">+IF(tiempos[[#This Row],[Vigencia OR]]=0,(tiempos[[#This Row],[Plazo Verificación técnica de la documentación]]+175),tiempos[[#This Row],[Vigencia OR]])</f>
        <v>45968</v>
      </c>
      <c r="O58" s="104">
        <f ca="1">+tiempos[[#This Row],[Plazo de la conexión (sin prorroga)]]+90</f>
        <v>46058</v>
      </c>
      <c r="P58" s="7"/>
    </row>
    <row r="59" spans="1:16" x14ac:dyDescent="0.25">
      <c r="A59">
        <f>'ESTADO SOLICITUDES'!A59</f>
        <v>53</v>
      </c>
      <c r="B59" t="str">
        <f>'ESTADO SOLICITUDES'!B59</f>
        <v>ATL005-Campeche 3</v>
      </c>
      <c r="C59" t="str">
        <f>'ESTADO SOLICITUDES'!T59</f>
        <v>Espera</v>
      </c>
      <c r="D59" s="85">
        <f>'ESTADO SOLICITUDES'!K59</f>
        <v>22145</v>
      </c>
      <c r="E59" s="7">
        <f>'ESTADO SOLICITUDES'!J59</f>
        <v>45617</v>
      </c>
      <c r="F59" s="104">
        <f t="shared" si="3"/>
        <v>45624</v>
      </c>
      <c r="G59" s="104">
        <v>45625</v>
      </c>
      <c r="H59" s="7">
        <f>'ESTADO SOLICITUDES'!M59</f>
        <v>45639</v>
      </c>
      <c r="I59" s="104">
        <f t="shared" ca="1" si="4"/>
        <v>45779</v>
      </c>
      <c r="J59" s="7">
        <f>+EstadoSolicitudes[[#This Row],[Cargue estudio al OR]]</f>
        <v>0</v>
      </c>
      <c r="K59" s="104">
        <f t="shared" ca="1" si="5"/>
        <v>45793</v>
      </c>
      <c r="M59" s="7">
        <f>+EstadoSolicitudes[[#This Row],[Vigencia]]</f>
        <v>0</v>
      </c>
      <c r="N59" s="104">
        <f ca="1">+IF(tiempos[[#This Row],[Vigencia OR]]=0,(tiempos[[#This Row],[Plazo Verificación técnica de la documentación]]+175),tiempos[[#This Row],[Vigencia OR]])</f>
        <v>45968</v>
      </c>
      <c r="O59" s="104">
        <f ca="1">+tiempos[[#This Row],[Plazo de la conexión (sin prorroga)]]+90</f>
        <v>46058</v>
      </c>
      <c r="P59" s="7"/>
    </row>
    <row r="60" spans="1:16" x14ac:dyDescent="0.25">
      <c r="A60">
        <f>'ESTADO SOLICITUDES'!A60</f>
        <v>54</v>
      </c>
      <c r="B60" t="str">
        <f>'ESTADO SOLICITUDES'!B60</f>
        <v>ATL005-Campeche 4</v>
      </c>
      <c r="C60" t="str">
        <f>'ESTADO SOLICITUDES'!T60</f>
        <v>Espera</v>
      </c>
      <c r="D60" s="85">
        <f>'ESTADO SOLICITUDES'!K60</f>
        <v>22146</v>
      </c>
      <c r="E60" s="7">
        <f>'ESTADO SOLICITUDES'!J60</f>
        <v>45617</v>
      </c>
      <c r="F60" s="104">
        <f t="shared" si="3"/>
        <v>45624</v>
      </c>
      <c r="G60" s="104">
        <v>45625</v>
      </c>
      <c r="H60" s="7">
        <f>'ESTADO SOLICITUDES'!M60</f>
        <v>45642</v>
      </c>
      <c r="I60" s="104">
        <f t="shared" ca="1" si="4"/>
        <v>45782</v>
      </c>
      <c r="J60" s="7">
        <f>+EstadoSolicitudes[[#This Row],[Cargue estudio al OR]]</f>
        <v>0</v>
      </c>
      <c r="K60" s="104">
        <f t="shared" ca="1" si="5"/>
        <v>45796</v>
      </c>
      <c r="M60" s="7">
        <f>+EstadoSolicitudes[[#This Row],[Vigencia]]</f>
        <v>0</v>
      </c>
      <c r="N60" s="104">
        <f ca="1">+IF(tiempos[[#This Row],[Vigencia OR]]=0,(tiempos[[#This Row],[Plazo Verificación técnica de la documentación]]+175),tiempos[[#This Row],[Vigencia OR]])</f>
        <v>45971</v>
      </c>
      <c r="O60" s="104">
        <f ca="1">+tiempos[[#This Row],[Plazo de la conexión (sin prorroga)]]+90</f>
        <v>46061</v>
      </c>
      <c r="P60" s="7"/>
    </row>
    <row r="61" spans="1:16" x14ac:dyDescent="0.25">
      <c r="A61">
        <f>'ESTADO SOLICITUDES'!A61</f>
        <v>55</v>
      </c>
      <c r="B61" t="str">
        <f>'ESTADO SOLICITUDES'!B61</f>
        <v>Cancelado CAU040_El Porvenir</v>
      </c>
      <c r="C61" t="str">
        <f>'ESTADO SOLICITUDES'!T61</f>
        <v>Espera</v>
      </c>
      <c r="D61" s="85">
        <f>'ESTADO SOLICITUDES'!K61</f>
        <v>9332984</v>
      </c>
      <c r="E61" s="7">
        <f>'ESTADO SOLICITUDES'!J61</f>
        <v>45621</v>
      </c>
      <c r="F61" s="104">
        <f t="shared" si="3"/>
        <v>45628</v>
      </c>
      <c r="G61" s="104">
        <v>45637</v>
      </c>
      <c r="H61" s="7">
        <f>'ESTADO SOLICITUDES'!M61</f>
        <v>45645</v>
      </c>
      <c r="I61" s="104">
        <f t="shared" ca="1" si="4"/>
        <v>45785</v>
      </c>
      <c r="J61" s="7">
        <f>+EstadoSolicitudes[[#This Row],[Cargue estudio al OR]]</f>
        <v>0</v>
      </c>
      <c r="K61" s="104">
        <f t="shared" ca="1" si="5"/>
        <v>45799</v>
      </c>
      <c r="M61" s="7">
        <f>+EstadoSolicitudes[[#This Row],[Vigencia]]</f>
        <v>0</v>
      </c>
      <c r="N61" s="104">
        <f ca="1">+IF(tiempos[[#This Row],[Vigencia OR]]=0,(tiempos[[#This Row],[Plazo Verificación técnica de la documentación]]+175),tiempos[[#This Row],[Vigencia OR]])</f>
        <v>45974</v>
      </c>
      <c r="O61" s="104">
        <f ca="1">+tiempos[[#This Row],[Plazo de la conexión (sin prorroga)]]+90</f>
        <v>46064</v>
      </c>
      <c r="P61" s="7"/>
    </row>
    <row r="62" spans="1:16" x14ac:dyDescent="0.25">
      <c r="A62">
        <f>'ESTADO SOLICITUDES'!A62</f>
        <v>56</v>
      </c>
      <c r="B62" t="str">
        <f>'ESTADO SOLICITUDES'!B62</f>
        <v>Cancelado CAU044_ElPrado</v>
      </c>
      <c r="C62" t="str">
        <f>'ESTADO SOLICITUDES'!T62</f>
        <v>Espera</v>
      </c>
      <c r="D62" s="85">
        <f>'ESTADO SOLICITUDES'!K62</f>
        <v>9353274</v>
      </c>
      <c r="E62" s="7">
        <f>'ESTADO SOLICITUDES'!J62</f>
        <v>45622</v>
      </c>
      <c r="F62" s="104">
        <f t="shared" si="3"/>
        <v>45629</v>
      </c>
      <c r="G62" s="104">
        <v>45637</v>
      </c>
      <c r="H62" s="7">
        <f>'ESTADO SOLICITUDES'!M62</f>
        <v>0</v>
      </c>
      <c r="I62" s="104">
        <f t="shared" ca="1" si="4"/>
        <v>46016</v>
      </c>
      <c r="J62" s="7">
        <f>+EstadoSolicitudes[[#This Row],[Cargue estudio al OR]]</f>
        <v>0</v>
      </c>
      <c r="K62" s="104">
        <f t="shared" ca="1" si="5"/>
        <v>46030</v>
      </c>
      <c r="M62" s="7">
        <f>+EstadoSolicitudes[[#This Row],[Vigencia]]</f>
        <v>0</v>
      </c>
      <c r="N62" s="104">
        <f ca="1">+IF(tiempos[[#This Row],[Vigencia OR]]=0,(tiempos[[#This Row],[Plazo Verificación técnica de la documentación]]+175),tiempos[[#This Row],[Vigencia OR]])</f>
        <v>46205</v>
      </c>
      <c r="O62" s="104">
        <f ca="1">+tiempos[[#This Row],[Plazo de la conexión (sin prorroga)]]+90</f>
        <v>46295</v>
      </c>
      <c r="P62" s="7"/>
    </row>
    <row r="63" spans="1:16" x14ac:dyDescent="0.25">
      <c r="A63">
        <f>'ESTADO SOLICITUDES'!A63</f>
        <v>57</v>
      </c>
      <c r="B63" t="str">
        <f>'ESTADO SOLICITUDES'!B63</f>
        <v>CES011_Palermo</v>
      </c>
      <c r="C63" t="str">
        <f>'ESTADO SOLICITUDES'!T63</f>
        <v>Espera</v>
      </c>
      <c r="D63" s="85">
        <f>'ESTADO SOLICITUDES'!K63</f>
        <v>31534</v>
      </c>
      <c r="E63" s="7">
        <f>'ESTADO SOLICITUDES'!J63</f>
        <v>45628</v>
      </c>
      <c r="F63" s="104">
        <f t="shared" si="3"/>
        <v>45635</v>
      </c>
      <c r="G63" s="104">
        <v>45637</v>
      </c>
      <c r="H63" s="7">
        <f>'ESTADO SOLICITUDES'!M63</f>
        <v>0</v>
      </c>
      <c r="I63" s="104">
        <f t="shared" ca="1" si="4"/>
        <v>46016</v>
      </c>
      <c r="J63" s="7">
        <f>+EstadoSolicitudes[[#This Row],[Cargue estudio al OR]]</f>
        <v>0</v>
      </c>
      <c r="K63" s="104">
        <f t="shared" ca="1" si="5"/>
        <v>46030</v>
      </c>
      <c r="M63" s="7">
        <f>+EstadoSolicitudes[[#This Row],[Vigencia]]</f>
        <v>0</v>
      </c>
      <c r="N63" s="104">
        <f ca="1">+IF(tiempos[[#This Row],[Vigencia OR]]=0,(tiempos[[#This Row],[Plazo Verificación técnica de la documentación]]+175),tiempos[[#This Row],[Vigencia OR]])</f>
        <v>46205</v>
      </c>
      <c r="O63" s="104">
        <f ca="1">+tiempos[[#This Row],[Plazo de la conexión (sin prorroga)]]+90</f>
        <v>46295</v>
      </c>
      <c r="P63" s="7"/>
    </row>
    <row r="64" spans="1:16" x14ac:dyDescent="0.25">
      <c r="A64">
        <f>'ESTADO SOLICITUDES'!A64</f>
        <v>58</v>
      </c>
      <c r="B64" t="str">
        <f>'ESTADO SOLICITUDES'!B64</f>
        <v>CES013_LaFrancia</v>
      </c>
      <c r="C64" t="str">
        <f>'ESTADO SOLICITUDES'!T64</f>
        <v>Espera</v>
      </c>
      <c r="D64" s="85">
        <f>'ESTADO SOLICITUDES'!K64</f>
        <v>31556</v>
      </c>
      <c r="E64" s="7">
        <f>'ESTADO SOLICITUDES'!J64</f>
        <v>45628</v>
      </c>
      <c r="F64" s="104">
        <f t="shared" si="3"/>
        <v>45635</v>
      </c>
      <c r="G64" s="104">
        <v>45637</v>
      </c>
      <c r="H64" s="7">
        <f>'ESTADO SOLICITUDES'!M64</f>
        <v>45667</v>
      </c>
      <c r="I64" s="104">
        <f t="shared" ca="1" si="4"/>
        <v>45807</v>
      </c>
      <c r="J64" s="7">
        <f>+EstadoSolicitudes[[#This Row],[Cargue estudio al OR]]</f>
        <v>0</v>
      </c>
      <c r="K64" s="104">
        <f t="shared" ca="1" si="5"/>
        <v>45821</v>
      </c>
      <c r="M64" s="7">
        <f>+EstadoSolicitudes[[#This Row],[Vigencia]]</f>
        <v>270</v>
      </c>
      <c r="N64" s="104">
        <f>+IF(tiempos[[#This Row],[Vigencia OR]]=0,(tiempos[[#This Row],[Plazo Verificación técnica de la documentación]]+175),tiempos[[#This Row],[Vigencia OR]])</f>
        <v>270</v>
      </c>
      <c r="O64" s="104">
        <f>+tiempos[[#This Row],[Plazo de la conexión (sin prorroga)]]+90</f>
        <v>360</v>
      </c>
      <c r="P64" s="7"/>
    </row>
    <row r="65" spans="1:16" x14ac:dyDescent="0.25">
      <c r="A65">
        <f>'ESTADO SOLICITUDES'!A65</f>
        <v>59</v>
      </c>
      <c r="B65" t="str">
        <f>'ESTADO SOLICITUDES'!B65</f>
        <v>GUJ005_Gran Chaparral</v>
      </c>
      <c r="C65" t="str">
        <f>'ESTADO SOLICITUDES'!T65</f>
        <v>Espera</v>
      </c>
      <c r="D65" s="85">
        <f>'ESTADO SOLICITUDES'!K65</f>
        <v>22235</v>
      </c>
      <c r="E65" s="7">
        <f>'ESTADO SOLICITUDES'!J65</f>
        <v>45629</v>
      </c>
      <c r="F65" s="104">
        <f t="shared" si="3"/>
        <v>45636</v>
      </c>
      <c r="G65" s="104">
        <v>45637</v>
      </c>
      <c r="H65" s="7">
        <f>'ESTADO SOLICITUDES'!M65</f>
        <v>45656</v>
      </c>
      <c r="I65" s="104">
        <f t="shared" ca="1" si="4"/>
        <v>45796</v>
      </c>
      <c r="J65" s="7">
        <f>+EstadoSolicitudes[[#This Row],[Cargue estudio al OR]]</f>
        <v>0</v>
      </c>
      <c r="K65" s="104">
        <f t="shared" ca="1" si="5"/>
        <v>45810</v>
      </c>
      <c r="M65" s="7">
        <f>+EstadoSolicitudes[[#This Row],[Vigencia]]</f>
        <v>0</v>
      </c>
      <c r="N65" s="104">
        <f ca="1">+IF(tiempos[[#This Row],[Vigencia OR]]=0,(tiempos[[#This Row],[Plazo Verificación técnica de la documentación]]+175),tiempos[[#This Row],[Vigencia OR]])</f>
        <v>45985</v>
      </c>
      <c r="O65" s="104">
        <f ca="1">+tiempos[[#This Row],[Plazo de la conexión (sin prorroga)]]+90</f>
        <v>46075</v>
      </c>
      <c r="P65" s="7"/>
    </row>
    <row r="66" spans="1:16" x14ac:dyDescent="0.25">
      <c r="A66">
        <f>'ESTADO SOLICITUDES'!A66</f>
        <v>60</v>
      </c>
      <c r="B66" t="str">
        <f>'ESTADO SOLICITUDES'!B66</f>
        <v>MAG005_ La Providencia</v>
      </c>
      <c r="C66" t="str">
        <f>'ESTADO SOLICITUDES'!T66</f>
        <v>Espera</v>
      </c>
      <c r="D66" s="85">
        <f>'ESTADO SOLICITUDES'!K66</f>
        <v>22237</v>
      </c>
      <c r="E66" s="7">
        <f>'ESTADO SOLICITUDES'!J66</f>
        <v>45629</v>
      </c>
      <c r="F66" s="104">
        <f t="shared" si="3"/>
        <v>45636</v>
      </c>
      <c r="G66" s="104">
        <v>45637</v>
      </c>
      <c r="H66" s="7">
        <f>'ESTADO SOLICITUDES'!M66</f>
        <v>45656</v>
      </c>
      <c r="I66" s="104">
        <f t="shared" ca="1" si="4"/>
        <v>45796</v>
      </c>
      <c r="J66" s="7">
        <f>+EstadoSolicitudes[[#This Row],[Cargue estudio al OR]]</f>
        <v>0</v>
      </c>
      <c r="K66" s="104">
        <f t="shared" ca="1" si="5"/>
        <v>45810</v>
      </c>
      <c r="M66" s="7">
        <f>+EstadoSolicitudes[[#This Row],[Vigencia]]</f>
        <v>0</v>
      </c>
      <c r="N66" s="104">
        <f ca="1">+IF(tiempos[[#This Row],[Vigencia OR]]=0,(tiempos[[#This Row],[Plazo Verificación técnica de la documentación]]+175),tiempos[[#This Row],[Vigencia OR]])</f>
        <v>45985</v>
      </c>
      <c r="O66" s="104">
        <f ca="1">+tiempos[[#This Row],[Plazo de la conexión (sin prorroga)]]+90</f>
        <v>46075</v>
      </c>
      <c r="P66" s="7"/>
    </row>
    <row r="67" spans="1:16" x14ac:dyDescent="0.25">
      <c r="A67">
        <f>'ESTADO SOLICITUDES'!A67</f>
        <v>61</v>
      </c>
      <c r="B67" t="str">
        <f>'ESTADO SOLICITUDES'!B67</f>
        <v xml:space="preserve"> GUAJ001-Ramal 1</v>
      </c>
      <c r="C67" t="str">
        <f>'ESTADO SOLICITUDES'!T67</f>
        <v>Espera</v>
      </c>
      <c r="D67" s="85">
        <f>'ESTADO SOLICITUDES'!K67</f>
        <v>22245</v>
      </c>
      <c r="E67" s="7">
        <f>'ESTADO SOLICITUDES'!J67</f>
        <v>45630</v>
      </c>
      <c r="F67" s="104">
        <f t="shared" si="3"/>
        <v>45637</v>
      </c>
      <c r="G67" s="104">
        <v>45637</v>
      </c>
      <c r="H67" s="104">
        <f>'ESTADO SOLICITUDES'!M67</f>
        <v>45656</v>
      </c>
      <c r="I67" s="104">
        <f t="shared" ca="1" si="4"/>
        <v>45796</v>
      </c>
      <c r="J67" s="7">
        <f>+EstadoSolicitudes[[#This Row],[Cargue estudio al OR]]</f>
        <v>0</v>
      </c>
      <c r="K67" s="104">
        <f t="shared" ca="1" si="5"/>
        <v>45810</v>
      </c>
      <c r="M67" s="7">
        <f>+EstadoSolicitudes[[#This Row],[Vigencia]]</f>
        <v>270</v>
      </c>
      <c r="N67" s="104">
        <f>+IF(tiempos[[#This Row],[Vigencia OR]]=0,(tiempos[[#This Row],[Plazo Verificación técnica de la documentación]]+175),tiempos[[#This Row],[Vigencia OR]])</f>
        <v>270</v>
      </c>
      <c r="O67" s="104">
        <f>+tiempos[[#This Row],[Plazo de la conexión (sin prorroga)]]+90</f>
        <v>360</v>
      </c>
      <c r="P67" s="7"/>
    </row>
    <row r="68" spans="1:16" x14ac:dyDescent="0.25">
      <c r="A68">
        <f>'ESTADO SOLICITUDES'!A68</f>
        <v>62</v>
      </c>
      <c r="B68" t="str">
        <f>'ESTADO SOLICITUDES'!B68</f>
        <v>SAN005_La Guacamaya</v>
      </c>
      <c r="C68" t="str">
        <f>'ESTADO SOLICITUDES'!T68</f>
        <v>Espera</v>
      </c>
      <c r="D68" s="85">
        <f>'ESTADO SOLICITUDES'!K68</f>
        <v>61453710</v>
      </c>
      <c r="E68" s="7">
        <f>'ESTADO SOLICITUDES'!J68</f>
        <v>45633</v>
      </c>
      <c r="F68" s="104">
        <f t="shared" si="3"/>
        <v>45639</v>
      </c>
      <c r="G68" s="104"/>
      <c r="H68" s="104">
        <f>'ESTADO SOLICITUDES'!M68</f>
        <v>45664</v>
      </c>
      <c r="I68" s="104">
        <f t="shared" ca="1" si="4"/>
        <v>45804</v>
      </c>
      <c r="J68" s="7">
        <f>+EstadoSolicitudes[[#This Row],[Cargue estudio al OR]]</f>
        <v>0</v>
      </c>
      <c r="K68" s="104">
        <f t="shared" ca="1" si="5"/>
        <v>45818</v>
      </c>
      <c r="M68" s="104">
        <f>+EstadoSolicitudes[[#This Row],[Vigencia]]</f>
        <v>0</v>
      </c>
      <c r="N68" s="104">
        <f ca="1">+IF(tiempos[[#This Row],[Vigencia OR]]=0,(tiempos[[#This Row],[Plazo Verificación técnica de la documentación]]+175),tiempos[[#This Row],[Vigencia OR]])</f>
        <v>45993</v>
      </c>
      <c r="O68" s="104">
        <f ca="1">+tiempos[[#This Row],[Plazo de la conexión (sin prorroga)]]+90</f>
        <v>46083</v>
      </c>
      <c r="P68" s="7"/>
    </row>
    <row r="69" spans="1:16" ht="15.75" x14ac:dyDescent="0.25">
      <c r="A69">
        <f>'ESTADO SOLICITUDES'!A69</f>
        <v>63</v>
      </c>
      <c r="B69" s="129" t="s">
        <v>346</v>
      </c>
      <c r="C69" t="str">
        <f>'ESTADO SOLICITUDES'!T69</f>
        <v>Espera</v>
      </c>
      <c r="D69" s="130">
        <v>61484385</v>
      </c>
      <c r="E69" s="48">
        <v>45636</v>
      </c>
      <c r="F69" s="104">
        <f t="shared" si="3"/>
        <v>45643</v>
      </c>
      <c r="G69" s="104"/>
      <c r="H69" s="104">
        <f>'ESTADO SOLICITUDES'!M79</f>
        <v>0</v>
      </c>
      <c r="I69" s="104">
        <f t="shared" ca="1" si="4"/>
        <v>46016</v>
      </c>
      <c r="J69" s="7">
        <f>+EstadoSolicitudes[[#This Row],[Cargue estudio al OR]]</f>
        <v>0</v>
      </c>
      <c r="K69" s="104">
        <f t="shared" ca="1" si="5"/>
        <v>46030</v>
      </c>
      <c r="M69" s="104">
        <f>+EstadoSolicitudes[[#This Row],[Vigencia]]</f>
        <v>0</v>
      </c>
      <c r="N69" s="104">
        <f ca="1">+IF(tiempos[[#This Row],[Vigencia OR]]=0,(tiempos[[#This Row],[Plazo Verificación técnica de la documentación]]+175),tiempos[[#This Row],[Vigencia OR]])</f>
        <v>46205</v>
      </c>
      <c r="O69" s="104">
        <f ca="1">+tiempos[[#This Row],[Plazo de la conexión (sin prorroga)]]+90</f>
        <v>46295</v>
      </c>
      <c r="P69" s="7"/>
    </row>
    <row r="70" spans="1:16" ht="15.75" x14ac:dyDescent="0.25">
      <c r="A70">
        <f>'ESTADO SOLICITUDES'!A70</f>
        <v>64</v>
      </c>
      <c r="B70" s="129" t="s">
        <v>308</v>
      </c>
      <c r="C70" t="str">
        <f>'ESTADO SOLICITUDES'!T70</f>
        <v>Espera</v>
      </c>
      <c r="D70" s="131">
        <v>9712463</v>
      </c>
      <c r="E70" s="48">
        <v>45636</v>
      </c>
      <c r="F70" s="104">
        <f t="shared" si="3"/>
        <v>45643</v>
      </c>
      <c r="G70" s="104"/>
      <c r="H70" s="104">
        <f>'ESTADO SOLICITUDES'!M70</f>
        <v>45643</v>
      </c>
      <c r="I70" s="104">
        <f t="shared" ca="1" si="4"/>
        <v>45783</v>
      </c>
      <c r="J70" s="7">
        <f>+EstadoSolicitudes[[#This Row],[Cargue estudio al OR]]</f>
        <v>0</v>
      </c>
      <c r="K70" s="104">
        <f t="shared" ca="1" si="5"/>
        <v>45797</v>
      </c>
      <c r="M70" s="104">
        <f>+EstadoSolicitudes[[#This Row],[Vigencia]]</f>
        <v>0</v>
      </c>
      <c r="N70" s="104">
        <f ca="1">+IF(tiempos[[#This Row],[Vigencia OR]]=0,(tiempos[[#This Row],[Plazo Verificación técnica de la documentación]]+175),tiempos[[#This Row],[Vigencia OR]])</f>
        <v>45972</v>
      </c>
      <c r="O70" s="104">
        <f ca="1">+tiempos[[#This Row],[Plazo de la conexión (sin prorroga)]]+90</f>
        <v>46062</v>
      </c>
      <c r="P70" s="7"/>
    </row>
    <row r="71" spans="1:16" x14ac:dyDescent="0.25">
      <c r="A71">
        <f>'ESTADO SOLICITUDES'!A71</f>
        <v>65</v>
      </c>
      <c r="B71" t="str">
        <f>'ESTADO SOLICITUDES'!B71</f>
        <v>NAR028_ La Casa del Sol</v>
      </c>
      <c r="C71" t="s">
        <v>145</v>
      </c>
      <c r="D71" s="85">
        <f>'ESTADO SOLICITUDES'!K71</f>
        <v>3241</v>
      </c>
      <c r="E71" s="7">
        <f>'ESTADO SOLICITUDES'!J71</f>
        <v>45638</v>
      </c>
      <c r="F71" s="104">
        <f t="shared" ref="F71:F73" si="6">WORKDAY(E71,5)</f>
        <v>45645</v>
      </c>
      <c r="G71" s="104"/>
      <c r="H71" s="104">
        <f>'ESTADO SOLICITUDES'!M71</f>
        <v>0</v>
      </c>
      <c r="I71" s="104">
        <f t="shared" ref="I71:I73" ca="1" si="7">IF(H71=0, TODAY() + 140, H71 + 140)</f>
        <v>46016</v>
      </c>
      <c r="J71" s="7">
        <f>+EstadoSolicitudes[[#This Row],[Cargue estudio al OR]]</f>
        <v>0</v>
      </c>
      <c r="K71" s="104">
        <f t="shared" ref="K71:K73" ca="1" si="8">WORKDAY(IF(J71=0, I71, J71), 10)</f>
        <v>46030</v>
      </c>
      <c r="M71" s="104">
        <f>+EstadoSolicitudes[[#This Row],[Vigencia]]</f>
        <v>0</v>
      </c>
      <c r="N71" s="104">
        <f ca="1">+IF(tiempos[[#This Row],[Vigencia OR]]=0,(tiempos[[#This Row],[Plazo Verificación técnica de la documentación]]+175),tiempos[[#This Row],[Vigencia OR]])</f>
        <v>46205</v>
      </c>
      <c r="O71" s="104">
        <f ca="1">+tiempos[[#This Row],[Plazo de la conexión (sin prorroga)]]+90</f>
        <v>46295</v>
      </c>
      <c r="P71" s="7"/>
    </row>
    <row r="72" spans="1:16" x14ac:dyDescent="0.25">
      <c r="A72">
        <f>'ESTADO SOLICITUDES'!A72</f>
        <v>66</v>
      </c>
      <c r="B72" t="str">
        <f>'ESTADO SOLICITUDES'!B72</f>
        <v>CAU028_VillaCristina 2</v>
      </c>
      <c r="C72" t="s">
        <v>145</v>
      </c>
      <c r="D72" s="85">
        <f>'ESTADO SOLICITUDES'!K72</f>
        <v>9739209</v>
      </c>
      <c r="E72" s="7">
        <f>'ESTADO SOLICITUDES'!J72</f>
        <v>45638</v>
      </c>
      <c r="F72" s="104">
        <f t="shared" si="6"/>
        <v>45645</v>
      </c>
      <c r="G72" s="104"/>
      <c r="H72" s="104">
        <f>'ESTADO SOLICITUDES'!M72</f>
        <v>45643</v>
      </c>
      <c r="I72" s="104">
        <f t="shared" ca="1" si="7"/>
        <v>45783</v>
      </c>
      <c r="J72" s="7">
        <f>+EstadoSolicitudes[[#This Row],[Cargue estudio al OR]]</f>
        <v>0</v>
      </c>
      <c r="K72" s="104">
        <f t="shared" ca="1" si="8"/>
        <v>45797</v>
      </c>
      <c r="M72" s="104">
        <f>+EstadoSolicitudes[[#This Row],[Vigencia]]</f>
        <v>270</v>
      </c>
      <c r="N72" s="104">
        <f>+IF(tiempos[[#This Row],[Vigencia OR]]=0,(tiempos[[#This Row],[Plazo Verificación técnica de la documentación]]+175),tiempos[[#This Row],[Vigencia OR]])</f>
        <v>270</v>
      </c>
      <c r="O72" s="104">
        <f>+tiempos[[#This Row],[Plazo de la conexión (sin prorroga)]]+90</f>
        <v>360</v>
      </c>
      <c r="P72" s="7"/>
    </row>
    <row r="73" spans="1:16" x14ac:dyDescent="0.25">
      <c r="A73">
        <f>'ESTADO SOLICITUDES'!A73</f>
        <v>67</v>
      </c>
      <c r="B73" t="str">
        <f>'ESTADO SOLICITUDES'!B73</f>
        <v>CAU044_ElPrado</v>
      </c>
      <c r="C73" t="s">
        <v>145</v>
      </c>
      <c r="D73" s="85">
        <f>'ESTADO SOLICITUDES'!K73</f>
        <v>9742687</v>
      </c>
      <c r="E73" s="7">
        <f>'ESTADO SOLICITUDES'!J73</f>
        <v>45638</v>
      </c>
      <c r="F73" s="104">
        <f t="shared" si="6"/>
        <v>45645</v>
      </c>
      <c r="G73" s="104"/>
      <c r="H73" s="104" t="e">
        <f>'ESTADO SOLICITUDES'!#REF!</f>
        <v>#REF!</v>
      </c>
      <c r="I73" s="104" t="e">
        <f t="shared" ca="1" si="7"/>
        <v>#REF!</v>
      </c>
      <c r="J73" s="7">
        <f>+EstadoSolicitudes[[#This Row],[Cargue estudio al OR]]</f>
        <v>0</v>
      </c>
      <c r="K73" s="104" t="e">
        <f t="shared" ca="1" si="8"/>
        <v>#REF!</v>
      </c>
      <c r="M73" s="104">
        <f>+EstadoSolicitudes[[#This Row],[Vigencia]]</f>
        <v>0</v>
      </c>
      <c r="N73" s="104" t="e">
        <f ca="1">+IF(tiempos[[#This Row],[Vigencia OR]]=0,(tiempos[[#This Row],[Plazo Verificación técnica de la documentación]]+175),tiempos[[#This Row],[Vigencia OR]])</f>
        <v>#REF!</v>
      </c>
      <c r="O73" s="104" t="e">
        <f ca="1">+tiempos[[#This Row],[Plazo de la conexión (sin prorroga)]]+90</f>
        <v>#REF!</v>
      </c>
      <c r="P73" s="7"/>
    </row>
    <row r="74" spans="1:16" x14ac:dyDescent="0.25">
      <c r="A74">
        <f>'ESTADO SOLICITUDES'!A74</f>
        <v>68</v>
      </c>
      <c r="B74" t="str">
        <f>'ESTADO SOLICITUDES'!B74</f>
        <v>CAU040_El Porvenir</v>
      </c>
      <c r="C74" t="s">
        <v>145</v>
      </c>
      <c r="D74" s="85">
        <f>'ESTADO SOLICITUDES'!K74</f>
        <v>9744108</v>
      </c>
      <c r="E74" s="7">
        <f>'ESTADO SOLICITUDES'!J74</f>
        <v>45638</v>
      </c>
      <c r="F74" s="104">
        <f t="shared" ref="F74:F80" si="9">WORKDAY(E74,5)</f>
        <v>45645</v>
      </c>
      <c r="G74" s="104"/>
      <c r="H74" s="104">
        <f>'ESTADO SOLICITUDES'!M73</f>
        <v>45644</v>
      </c>
      <c r="I74" s="104">
        <f t="shared" ref="I74:I80" ca="1" si="10">IF(H74=0, TODAY() + 140, H74 + 140)</f>
        <v>45784</v>
      </c>
      <c r="J74" s="7">
        <f>+EstadoSolicitudes[[#This Row],[Cargue estudio al OR]]</f>
        <v>0</v>
      </c>
      <c r="K74" s="104">
        <f t="shared" ref="K74:K80" ca="1" si="11">WORKDAY(IF(J74=0, I74, J74), 10)</f>
        <v>45798</v>
      </c>
      <c r="M74" s="104">
        <f>+EstadoSolicitudes[[#This Row],[Vigencia]]</f>
        <v>0</v>
      </c>
      <c r="N74" s="104">
        <f ca="1">+IF(tiempos[[#This Row],[Vigencia OR]]=0,(tiempos[[#This Row],[Plazo Verificación técnica de la documentación]]+175),tiempos[[#This Row],[Vigencia OR]])</f>
        <v>45973</v>
      </c>
      <c r="O74" s="104">
        <f ca="1">+tiempos[[#This Row],[Plazo de la conexión (sin prorroga)]]+90</f>
        <v>46063</v>
      </c>
      <c r="P74" s="7"/>
    </row>
    <row r="75" spans="1:16" x14ac:dyDescent="0.25">
      <c r="A75">
        <f>'ESTADO SOLICITUDES'!A75</f>
        <v>69</v>
      </c>
      <c r="B75" t="str">
        <f>'ESTADO SOLICITUDES'!B75</f>
        <v>TOL003_ San Rafael (Flandes)</v>
      </c>
      <c r="C75" t="str">
        <f>'ESTADO SOLICITUDES'!T75</f>
        <v>Espera</v>
      </c>
      <c r="D75" s="85">
        <f>'ESTADO SOLICITUDES'!K75</f>
        <v>0</v>
      </c>
      <c r="E75" s="7">
        <f>'ESTADO SOLICITUDES'!J75</f>
        <v>45639</v>
      </c>
      <c r="F75" s="104">
        <f t="shared" si="9"/>
        <v>45646</v>
      </c>
      <c r="G75" s="104"/>
      <c r="H75" s="104">
        <f>'ESTADO SOLICITUDES'!M75</f>
        <v>45645</v>
      </c>
      <c r="I75" s="104">
        <f t="shared" ca="1" si="10"/>
        <v>45785</v>
      </c>
      <c r="J75" s="7">
        <f>+EstadoSolicitudes[[#This Row],[Cargue estudio al OR]]</f>
        <v>0</v>
      </c>
      <c r="K75" s="104">
        <f t="shared" ca="1" si="11"/>
        <v>45799</v>
      </c>
      <c r="M75" s="104">
        <f>+EstadoSolicitudes[[#This Row],[Vigencia]]</f>
        <v>0</v>
      </c>
      <c r="N75" s="104">
        <f ca="1">+IF(tiempos[[#This Row],[Vigencia OR]]=0,(tiempos[[#This Row],[Plazo Verificación técnica de la documentación]]+175),tiempos[[#This Row],[Vigencia OR]])</f>
        <v>45974</v>
      </c>
      <c r="O75" s="104">
        <f ca="1">+tiempos[[#This Row],[Plazo de la conexión (sin prorroga)]]+90</f>
        <v>46064</v>
      </c>
      <c r="P75" s="7"/>
    </row>
    <row r="76" spans="1:16" x14ac:dyDescent="0.25">
      <c r="A76">
        <f>'ESTADO SOLICITUDES'!A76</f>
        <v>70</v>
      </c>
      <c r="B76" t="str">
        <f>'ESTADO SOLICITUDES'!B76</f>
        <v>ATL002_Tinajitas 5</v>
      </c>
      <c r="C76" t="str">
        <f>'ESTADO SOLICITUDES'!T76</f>
        <v>Espera</v>
      </c>
      <c r="D76" s="85">
        <f>'ESTADO SOLICITUDES'!K76</f>
        <v>22452</v>
      </c>
      <c r="E76" s="7">
        <f>'ESTADO SOLICITUDES'!J76</f>
        <v>45644</v>
      </c>
      <c r="F76" s="104">
        <f t="shared" si="9"/>
        <v>45651</v>
      </c>
      <c r="G76" s="104"/>
      <c r="H76" s="104">
        <f>'ESTADO SOLICITUDES'!M76</f>
        <v>45700</v>
      </c>
      <c r="I76" s="104">
        <f t="shared" ca="1" si="10"/>
        <v>45840</v>
      </c>
      <c r="J76" s="7">
        <f>+EstadoSolicitudes[[#This Row],[Cargue estudio al OR]]</f>
        <v>0</v>
      </c>
      <c r="K76" s="104">
        <f t="shared" ca="1" si="11"/>
        <v>45854</v>
      </c>
      <c r="M76" s="104">
        <f>+EstadoSolicitudes[[#This Row],[Vigencia]]</f>
        <v>0</v>
      </c>
      <c r="N76" s="104">
        <f ca="1">+IF(tiempos[[#This Row],[Vigencia OR]]=0,(tiempos[[#This Row],[Plazo Verificación técnica de la documentación]]+175),tiempos[[#This Row],[Vigencia OR]])</f>
        <v>46029</v>
      </c>
      <c r="O76" s="104">
        <f ca="1">+tiempos[[#This Row],[Plazo de la conexión (sin prorroga)]]+90</f>
        <v>46119</v>
      </c>
      <c r="P76" s="7"/>
    </row>
    <row r="77" spans="1:16" x14ac:dyDescent="0.25">
      <c r="A77">
        <f>'ESTADO SOLICITUDES'!A77</f>
        <v>71</v>
      </c>
      <c r="B77" t="str">
        <f>'ESTADO SOLICITUDES'!B77</f>
        <v>ATL005 - Campeche 5</v>
      </c>
      <c r="C77" t="str">
        <f>'ESTADO SOLICITUDES'!T77</f>
        <v>Espera</v>
      </c>
      <c r="D77" s="85">
        <f>'ESTADO SOLICITUDES'!K77</f>
        <v>22456</v>
      </c>
      <c r="E77" s="7">
        <f>'ESTADO SOLICITUDES'!J77</f>
        <v>45645</v>
      </c>
      <c r="F77" s="104">
        <f t="shared" si="9"/>
        <v>45652</v>
      </c>
      <c r="G77" s="104"/>
      <c r="H77" s="104">
        <f>'ESTADO SOLICITUDES'!M77</f>
        <v>45700</v>
      </c>
      <c r="I77" s="104">
        <f t="shared" ca="1" si="10"/>
        <v>45840</v>
      </c>
      <c r="J77" s="7">
        <f>+EstadoSolicitudes[[#This Row],[Cargue estudio al OR]]</f>
        <v>0</v>
      </c>
      <c r="K77" s="104">
        <f t="shared" ca="1" si="11"/>
        <v>45854</v>
      </c>
      <c r="M77" s="104">
        <f>+EstadoSolicitudes[[#This Row],[Vigencia]]</f>
        <v>0</v>
      </c>
      <c r="N77" s="104">
        <f ca="1">+IF(tiempos[[#This Row],[Vigencia OR]]=0,(tiempos[[#This Row],[Plazo Verificación técnica de la documentación]]+175),tiempos[[#This Row],[Vigencia OR]])</f>
        <v>46029</v>
      </c>
      <c r="O77" s="104">
        <f ca="1">+tiempos[[#This Row],[Plazo de la conexión (sin prorroga)]]+90</f>
        <v>46119</v>
      </c>
      <c r="P77" s="7"/>
    </row>
    <row r="78" spans="1:16" x14ac:dyDescent="0.25">
      <c r="A78">
        <f>'ESTADO SOLICITUDES'!A78</f>
        <v>72</v>
      </c>
      <c r="B78" t="str">
        <f>'ESTADO SOLICITUDES'!B78</f>
        <v>VAL005_Hacienda Formosa</v>
      </c>
      <c r="C78" t="str">
        <f>'ESTADO SOLICITUDES'!T78</f>
        <v>Espera</v>
      </c>
      <c r="D78" s="85">
        <f>'ESTADO SOLICITUDES'!K78</f>
        <v>6753</v>
      </c>
      <c r="E78" s="7">
        <f>'ESTADO SOLICITUDES'!J78</f>
        <v>45666</v>
      </c>
      <c r="F78" s="104">
        <f t="shared" si="9"/>
        <v>45673</v>
      </c>
      <c r="G78" s="104"/>
      <c r="H78" s="104">
        <f>'ESTADO SOLICITUDES'!M78</f>
        <v>45674</v>
      </c>
      <c r="I78" s="104">
        <f t="shared" ca="1" si="10"/>
        <v>45814</v>
      </c>
      <c r="J78" s="7">
        <f>+EstadoSolicitudes[[#This Row],[Cargue estudio al OR]]</f>
        <v>0</v>
      </c>
      <c r="K78" s="104">
        <f t="shared" ca="1" si="11"/>
        <v>45828</v>
      </c>
      <c r="M78" s="104">
        <f>+EstadoSolicitudes[[#This Row],[Vigencia]]</f>
        <v>0</v>
      </c>
      <c r="N78" s="104">
        <f ca="1">+IF(tiempos[[#This Row],[Vigencia OR]]=0,(tiempos[[#This Row],[Plazo Verificación técnica de la documentación]]+175),tiempos[[#This Row],[Vigencia OR]])</f>
        <v>46003</v>
      </c>
      <c r="O78" s="104">
        <f ca="1">+tiempos[[#This Row],[Plazo de la conexión (sin prorroga)]]+90</f>
        <v>46093</v>
      </c>
      <c r="P78" s="7"/>
    </row>
    <row r="79" spans="1:16" x14ac:dyDescent="0.25">
      <c r="A79">
        <f>'ESTADO SOLICITUDES'!A79</f>
        <v>73</v>
      </c>
      <c r="B79" t="str">
        <f>'ESTADO SOLICITUDES'!B79</f>
        <v>NAR028_ La Casa del Sol 2</v>
      </c>
      <c r="C79" t="str">
        <f>'ESTADO SOLICITUDES'!T79</f>
        <v>Espera</v>
      </c>
      <c r="D79" s="85">
        <f>'ESTADO SOLICITUDES'!K79</f>
        <v>3421</v>
      </c>
      <c r="E79" s="7">
        <f>'ESTADO SOLICITUDES'!J79</f>
        <v>45673</v>
      </c>
      <c r="F79" s="104">
        <f t="shared" si="9"/>
        <v>45680</v>
      </c>
      <c r="G79" s="104"/>
      <c r="H79" s="104">
        <f>'ESTADO SOLICITUDES'!M79</f>
        <v>0</v>
      </c>
      <c r="I79" s="104">
        <f t="shared" ca="1" si="10"/>
        <v>46016</v>
      </c>
      <c r="J79" s="7">
        <f>+EstadoSolicitudes[[#This Row],[Cargue estudio al OR]]</f>
        <v>0</v>
      </c>
      <c r="K79" s="104">
        <f t="shared" ca="1" si="11"/>
        <v>46030</v>
      </c>
      <c r="M79" s="104">
        <f>+EstadoSolicitudes[[#This Row],[Vigencia]]</f>
        <v>0</v>
      </c>
      <c r="N79" s="104">
        <f ca="1">+IF(tiempos[[#This Row],[Vigencia OR]]=0,(tiempos[[#This Row],[Plazo Verificación técnica de la documentación]]+175),tiempos[[#This Row],[Vigencia OR]])</f>
        <v>46205</v>
      </c>
      <c r="O79" s="104">
        <f ca="1">+tiempos[[#This Row],[Plazo de la conexión (sin prorroga)]]+90</f>
        <v>46295</v>
      </c>
      <c r="P79" s="7"/>
    </row>
    <row r="80" spans="1:16" x14ac:dyDescent="0.25">
      <c r="A80">
        <f>'ESTADO SOLICITUDES'!A80</f>
        <v>74</v>
      </c>
      <c r="B80" t="str">
        <f>'ESTADO SOLICITUDES'!B80</f>
        <v>GUJ003_La Esperanza</v>
      </c>
      <c r="C80" t="str">
        <f>'ESTADO SOLICITUDES'!T80</f>
        <v>Espera</v>
      </c>
      <c r="D80" s="85">
        <f>'ESTADO SOLICITUDES'!K80</f>
        <v>22686</v>
      </c>
      <c r="E80" s="7">
        <f>'ESTADO SOLICITUDES'!J80</f>
        <v>45679</v>
      </c>
      <c r="F80" s="104">
        <f t="shared" si="9"/>
        <v>45686</v>
      </c>
      <c r="G80" s="104"/>
      <c r="H80" s="104">
        <f>'ESTADO SOLICITUDES'!M80</f>
        <v>0</v>
      </c>
      <c r="I80" s="104">
        <f t="shared" ca="1" si="10"/>
        <v>46016</v>
      </c>
      <c r="J80" s="7">
        <f>+EstadoSolicitudes[[#This Row],[Cargue estudio al OR]]</f>
        <v>0</v>
      </c>
      <c r="K80" s="104">
        <f t="shared" ca="1" si="11"/>
        <v>46030</v>
      </c>
      <c r="M80" s="104">
        <f>+EstadoSolicitudes[[#This Row],[Vigencia]]</f>
        <v>0</v>
      </c>
      <c r="N80" s="104">
        <f ca="1">+IF(tiempos[[#This Row],[Vigencia OR]]=0,(tiempos[[#This Row],[Plazo Verificación técnica de la documentación]]+175),tiempos[[#This Row],[Vigencia OR]])</f>
        <v>46205</v>
      </c>
      <c r="O80" s="104">
        <f ca="1">+tiempos[[#This Row],[Plazo de la conexión (sin prorroga)]]+90</f>
        <v>46295</v>
      </c>
      <c r="P80" s="7"/>
    </row>
    <row r="81" spans="1:16" x14ac:dyDescent="0.25">
      <c r="A81">
        <f>'ESTADO SOLICITUDES'!A81</f>
        <v>75</v>
      </c>
      <c r="B81" t="str">
        <f>'ESTADO SOLICITUDES'!B81</f>
        <v>ATL012_ElPelu</v>
      </c>
      <c r="C81" t="str">
        <f>'ESTADO SOLICITUDES'!T81</f>
        <v>Espera</v>
      </c>
      <c r="D81" s="85">
        <f>'ESTADO SOLICITUDES'!K81</f>
        <v>22876</v>
      </c>
      <c r="E81" s="7">
        <f>'ESTADO SOLICITUDES'!J81</f>
        <v>45698</v>
      </c>
      <c r="F81" s="104">
        <f t="shared" ref="F81:F112" si="12">WORKDAY(E81,5)</f>
        <v>45705</v>
      </c>
      <c r="G81" s="104"/>
      <c r="H81" s="104">
        <f>'ESTADO SOLICITUDES'!M81</f>
        <v>0</v>
      </c>
      <c r="I81" s="104">
        <f t="shared" ref="I81:I112" ca="1" si="13">IF(H81=0, TODAY() + 140, H81 + 140)</f>
        <v>46016</v>
      </c>
      <c r="J81" s="7">
        <f>+EstadoSolicitudes[[#This Row],[Cargue estudio al OR]]</f>
        <v>0</v>
      </c>
      <c r="K81" s="104">
        <f t="shared" ref="K81:K112" ca="1" si="14">WORKDAY(IF(J81=0, I81, J81), 10)</f>
        <v>46030</v>
      </c>
      <c r="M81" s="104">
        <f>+EstadoSolicitudes[[#This Row],[Vigencia]]</f>
        <v>0</v>
      </c>
      <c r="N81" s="104">
        <f ca="1">+IF(tiempos[[#This Row],[Vigencia OR]]=0,(tiempos[[#This Row],[Plazo Verificación técnica de la documentación]]+175),tiempos[[#This Row],[Vigencia OR]])</f>
        <v>46205</v>
      </c>
      <c r="O81" s="104">
        <f ca="1">+tiempos[[#This Row],[Plazo de la conexión (sin prorroga)]]+90</f>
        <v>46295</v>
      </c>
      <c r="P81" s="7"/>
    </row>
    <row r="82" spans="1:16" x14ac:dyDescent="0.25">
      <c r="A82">
        <f>'ESTADO SOLICITUDES'!A82</f>
        <v>76</v>
      </c>
      <c r="B82" t="str">
        <f>'ESTADO SOLICITUDES'!B82</f>
        <v>VAL006_El Socorro</v>
      </c>
      <c r="C82" t="str">
        <f>'ESTADO SOLICITUDES'!T82</f>
        <v>Espera</v>
      </c>
      <c r="D82" s="85">
        <f>'ESTADO SOLICITUDES'!K82</f>
        <v>0</v>
      </c>
      <c r="E82" s="7">
        <f>'ESTADO SOLICITUDES'!J82</f>
        <v>45699</v>
      </c>
      <c r="F82" s="104">
        <f t="shared" si="12"/>
        <v>45706</v>
      </c>
      <c r="G82" s="104"/>
      <c r="H82" s="104">
        <f>'ESTADO SOLICITUDES'!M82</f>
        <v>45708</v>
      </c>
      <c r="I82" s="104">
        <f t="shared" ca="1" si="13"/>
        <v>45848</v>
      </c>
      <c r="J82" s="7">
        <f>+EstadoSolicitudes[[#This Row],[Cargue estudio al OR]]</f>
        <v>0</v>
      </c>
      <c r="K82" s="104">
        <f t="shared" ca="1" si="14"/>
        <v>45862</v>
      </c>
      <c r="M82" s="104">
        <f>+EstadoSolicitudes[[#This Row],[Vigencia]]</f>
        <v>0</v>
      </c>
      <c r="N82" s="104">
        <f ca="1">+IF(tiempos[[#This Row],[Vigencia OR]]=0,(tiempos[[#This Row],[Plazo Verificación técnica de la documentación]]+175),tiempos[[#This Row],[Vigencia OR]])</f>
        <v>46037</v>
      </c>
      <c r="O82" s="104">
        <f ca="1">+tiempos[[#This Row],[Plazo de la conexión (sin prorroga)]]+90</f>
        <v>46127</v>
      </c>
      <c r="P82" s="7"/>
    </row>
    <row r="83" spans="1:16" x14ac:dyDescent="0.25">
      <c r="A83">
        <f>'ESTADO SOLICITUDES'!A83</f>
        <v>77</v>
      </c>
      <c r="B83" t="str">
        <f>'ESTADO SOLICITUDES'!B83</f>
        <v>NAR031_Chachagui1</v>
      </c>
      <c r="C83" t="str">
        <f>'ESTADO SOLICITUDES'!T83</f>
        <v>Espera</v>
      </c>
      <c r="D83" s="85">
        <f>'ESTADO SOLICITUDES'!K83</f>
        <v>3661</v>
      </c>
      <c r="E83" s="7">
        <f>'ESTADO SOLICITUDES'!J83</f>
        <v>45699</v>
      </c>
      <c r="F83" s="104">
        <f t="shared" si="12"/>
        <v>45706</v>
      </c>
      <c r="G83" s="104"/>
      <c r="H83" s="104">
        <f>'ESTADO SOLICITUDES'!M83</f>
        <v>45719</v>
      </c>
      <c r="I83" s="104">
        <f t="shared" ca="1" si="13"/>
        <v>45859</v>
      </c>
      <c r="J83" s="7">
        <f>+EstadoSolicitudes[[#This Row],[Cargue estudio al OR]]</f>
        <v>45777</v>
      </c>
      <c r="K83" s="104">
        <f t="shared" si="14"/>
        <v>45791</v>
      </c>
      <c r="M83" s="104">
        <f>+EstadoSolicitudes[[#This Row],[Vigencia]]</f>
        <v>0</v>
      </c>
      <c r="N83" s="104">
        <f>+IF(tiempos[[#This Row],[Vigencia OR]]=0,(tiempos[[#This Row],[Plazo Verificación técnica de la documentación]]+175),tiempos[[#This Row],[Vigencia OR]])</f>
        <v>45966</v>
      </c>
      <c r="O83" s="104">
        <f>+tiempos[[#This Row],[Plazo de la conexión (sin prorroga)]]+90</f>
        <v>46056</v>
      </c>
      <c r="P83" s="7"/>
    </row>
    <row r="84" spans="1:16" x14ac:dyDescent="0.25">
      <c r="A84">
        <f>'ESTADO SOLICITUDES'!A84</f>
        <v>78</v>
      </c>
      <c r="B84" t="str">
        <f>'ESTADO SOLICITUDES'!B84</f>
        <v>NAR031_Chachagui-2</v>
      </c>
      <c r="C84" t="str">
        <f>'ESTADO SOLICITUDES'!T84</f>
        <v>Espera</v>
      </c>
      <c r="D84" s="85">
        <f>'ESTADO SOLICITUDES'!K84</f>
        <v>3662</v>
      </c>
      <c r="E84" s="7">
        <f>'ESTADO SOLICITUDES'!J84</f>
        <v>45699</v>
      </c>
      <c r="F84" s="104">
        <f t="shared" si="12"/>
        <v>45706</v>
      </c>
      <c r="G84" s="104"/>
      <c r="H84" s="104">
        <f>'ESTADO SOLICITUDES'!M84</f>
        <v>45726</v>
      </c>
      <c r="I84" s="104">
        <f t="shared" ca="1" si="13"/>
        <v>45866</v>
      </c>
      <c r="J84" s="7">
        <f>+EstadoSolicitudes[[#This Row],[Cargue estudio al OR]]</f>
        <v>45783</v>
      </c>
      <c r="K84" s="104">
        <f t="shared" si="14"/>
        <v>45797</v>
      </c>
      <c r="M84" s="104">
        <f>+EstadoSolicitudes[[#This Row],[Vigencia]]</f>
        <v>0</v>
      </c>
      <c r="N84" s="104">
        <f>+IF(tiempos[[#This Row],[Vigencia OR]]=0,(tiempos[[#This Row],[Plazo Verificación técnica de la documentación]]+175),tiempos[[#This Row],[Vigencia OR]])</f>
        <v>45972</v>
      </c>
      <c r="O84" s="104">
        <f>+tiempos[[#This Row],[Plazo de la conexión (sin prorroga)]]+90</f>
        <v>46062</v>
      </c>
      <c r="P84" s="7"/>
    </row>
    <row r="85" spans="1:16" x14ac:dyDescent="0.25">
      <c r="A85">
        <f>'ESTADO SOLICITUDES'!A85</f>
        <v>79</v>
      </c>
      <c r="B85" t="str">
        <f>'ESTADO SOLICITUDES'!B85</f>
        <v>CES017_Panorama</v>
      </c>
      <c r="C85" t="str">
        <f>'ESTADO SOLICITUDES'!T85</f>
        <v>Espera</v>
      </c>
      <c r="D85" s="85">
        <f>'ESTADO SOLICITUDES'!K85</f>
        <v>34185</v>
      </c>
      <c r="E85" s="7">
        <f>'ESTADO SOLICITUDES'!J85</f>
        <v>45701</v>
      </c>
      <c r="F85" s="104">
        <f t="shared" si="12"/>
        <v>45708</v>
      </c>
      <c r="G85" s="104"/>
      <c r="H85" s="104">
        <f>'ESTADO SOLICITUDES'!M85</f>
        <v>0</v>
      </c>
      <c r="I85" s="104">
        <f t="shared" ca="1" si="13"/>
        <v>46016</v>
      </c>
      <c r="J85" s="7">
        <f>+EstadoSolicitudes[[#This Row],[Cargue estudio al OR]]</f>
        <v>0</v>
      </c>
      <c r="K85" s="104">
        <f t="shared" ca="1" si="14"/>
        <v>46030</v>
      </c>
      <c r="M85" s="104">
        <f>+EstadoSolicitudes[[#This Row],[Vigencia]]</f>
        <v>0</v>
      </c>
      <c r="N85" s="104">
        <f ca="1">+IF(tiempos[[#This Row],[Vigencia OR]]=0,(tiempos[[#This Row],[Plazo Verificación técnica de la documentación]]+175),tiempos[[#This Row],[Vigencia OR]])</f>
        <v>46205</v>
      </c>
      <c r="O85" s="104">
        <f ca="1">+tiempos[[#This Row],[Plazo de la conexión (sin prorroga)]]+90</f>
        <v>46295</v>
      </c>
      <c r="P85" s="7"/>
    </row>
    <row r="86" spans="1:16" x14ac:dyDescent="0.25">
      <c r="A86">
        <f>'ESTADO SOLICITUDES'!A86</f>
        <v>80</v>
      </c>
      <c r="B86" t="str">
        <f>'ESTADO SOLICITUDES'!B86</f>
        <v>CAU039_El Carmelo</v>
      </c>
      <c r="C86" t="str">
        <f>'ESTADO SOLICITUDES'!T86</f>
        <v>Espera</v>
      </c>
      <c r="D86" s="85">
        <f>'ESTADO SOLICITUDES'!K86</f>
        <v>0</v>
      </c>
      <c r="E86" s="7">
        <f>'ESTADO SOLICITUDES'!J86</f>
        <v>45702</v>
      </c>
      <c r="F86" s="104">
        <f t="shared" si="12"/>
        <v>45709</v>
      </c>
      <c r="G86" s="104"/>
      <c r="H86" s="104">
        <f>'ESTADO SOLICITUDES'!M86</f>
        <v>0</v>
      </c>
      <c r="I86" s="104">
        <f t="shared" ca="1" si="13"/>
        <v>46016</v>
      </c>
      <c r="J86" s="7">
        <f>+EstadoSolicitudes[[#This Row],[Cargue estudio al OR]]</f>
        <v>0</v>
      </c>
      <c r="K86" s="104">
        <f t="shared" ca="1" si="14"/>
        <v>46030</v>
      </c>
      <c r="M86" s="104">
        <f>+EstadoSolicitudes[[#This Row],[Vigencia]]</f>
        <v>0</v>
      </c>
      <c r="N86" s="104">
        <f ca="1">+IF(tiempos[[#This Row],[Vigencia OR]]=0,(tiempos[[#This Row],[Plazo Verificación técnica de la documentación]]+175),tiempos[[#This Row],[Vigencia OR]])</f>
        <v>46205</v>
      </c>
      <c r="O86" s="104">
        <f ca="1">+tiempos[[#This Row],[Plazo de la conexión (sin prorroga)]]+90</f>
        <v>46295</v>
      </c>
      <c r="P86" s="7"/>
    </row>
    <row r="87" spans="1:16" x14ac:dyDescent="0.25">
      <c r="A87">
        <f>'ESTADO SOLICITUDES'!A87</f>
        <v>81</v>
      </c>
      <c r="B87" t="str">
        <f>'ESTADO SOLICITUDES'!B87</f>
        <v xml:space="preserve"> ATL012 - El pelu 2</v>
      </c>
      <c r="C87" t="str">
        <f>'ESTADO SOLICITUDES'!T87</f>
        <v>Espera</v>
      </c>
      <c r="D87" s="85">
        <f>'ESTADO SOLICITUDES'!K87</f>
        <v>22930</v>
      </c>
      <c r="E87" s="7">
        <f>'ESTADO SOLICITUDES'!J87</f>
        <v>45705</v>
      </c>
      <c r="F87" s="104">
        <f t="shared" si="12"/>
        <v>45712</v>
      </c>
      <c r="G87" s="104"/>
      <c r="H87" s="104">
        <f>'ESTADO SOLICITUDES'!M87</f>
        <v>0</v>
      </c>
      <c r="I87" s="104">
        <f t="shared" ca="1" si="13"/>
        <v>46016</v>
      </c>
      <c r="J87" s="7">
        <f>+EstadoSolicitudes[[#This Row],[Cargue estudio al OR]]</f>
        <v>0</v>
      </c>
      <c r="K87" s="104">
        <f t="shared" ca="1" si="14"/>
        <v>46030</v>
      </c>
      <c r="M87" s="104">
        <f>+EstadoSolicitudes[[#This Row],[Vigencia]]</f>
        <v>0</v>
      </c>
      <c r="N87" s="104">
        <f ca="1">+IF(tiempos[[#This Row],[Vigencia OR]]=0,(tiempos[[#This Row],[Plazo Verificación técnica de la documentación]]+175),tiempos[[#This Row],[Vigencia OR]])</f>
        <v>46205</v>
      </c>
      <c r="O87" s="104">
        <f ca="1">+tiempos[[#This Row],[Plazo de la conexión (sin prorroga)]]+90</f>
        <v>46295</v>
      </c>
      <c r="P87" s="7"/>
    </row>
    <row r="88" spans="1:16" x14ac:dyDescent="0.25">
      <c r="A88">
        <f>'ESTADO SOLICITUDES'!A88</f>
        <v>82</v>
      </c>
      <c r="B88" t="str">
        <f>'ESTADO SOLICITUDES'!B88</f>
        <v xml:space="preserve"> ATL012 - El pelu 3</v>
      </c>
      <c r="C88" t="str">
        <f>'ESTADO SOLICITUDES'!T88</f>
        <v>Espera</v>
      </c>
      <c r="D88" s="85">
        <f>'ESTADO SOLICITUDES'!K88</f>
        <v>22933</v>
      </c>
      <c r="E88" s="7">
        <f>'ESTADO SOLICITUDES'!J88</f>
        <v>45705</v>
      </c>
      <c r="F88" s="104">
        <f t="shared" si="12"/>
        <v>45712</v>
      </c>
      <c r="G88" s="104"/>
      <c r="H88" s="104">
        <f>'ESTADO SOLICITUDES'!M88</f>
        <v>0</v>
      </c>
      <c r="I88" s="104">
        <f t="shared" ca="1" si="13"/>
        <v>46016</v>
      </c>
      <c r="J88" s="7">
        <f>+EstadoSolicitudes[[#This Row],[Cargue estudio al OR]]</f>
        <v>0</v>
      </c>
      <c r="K88" s="104">
        <f t="shared" ca="1" si="14"/>
        <v>46030</v>
      </c>
      <c r="M88" s="104">
        <f>+EstadoSolicitudes[[#This Row],[Vigencia]]</f>
        <v>0</v>
      </c>
      <c r="N88" s="104">
        <f ca="1">+IF(tiempos[[#This Row],[Vigencia OR]]=0,(tiempos[[#This Row],[Plazo Verificación técnica de la documentación]]+175),tiempos[[#This Row],[Vigencia OR]])</f>
        <v>46205</v>
      </c>
      <c r="O88" s="104">
        <f ca="1">+tiempos[[#This Row],[Plazo de la conexión (sin prorroga)]]+90</f>
        <v>46295</v>
      </c>
      <c r="P88" s="7"/>
    </row>
    <row r="89" spans="1:16" x14ac:dyDescent="0.25">
      <c r="A89">
        <f>'ESTADO SOLICITUDES'!A89</f>
        <v>83</v>
      </c>
      <c r="B89" t="str">
        <f>'ESTADO SOLICITUDES'!B89</f>
        <v>VAL007_San Antonio</v>
      </c>
      <c r="C89" t="str">
        <f>'ESTADO SOLICITUDES'!T89</f>
        <v>Espera</v>
      </c>
      <c r="D89" s="85">
        <f>'ESTADO SOLICITUDES'!K89</f>
        <v>0</v>
      </c>
      <c r="E89" s="7">
        <f>'ESTADO SOLICITUDES'!J89</f>
        <v>45705</v>
      </c>
      <c r="F89" s="104">
        <f t="shared" si="12"/>
        <v>45712</v>
      </c>
      <c r="G89" s="104"/>
      <c r="H89" s="104">
        <f>'ESTADO SOLICITUDES'!M89</f>
        <v>45713</v>
      </c>
      <c r="I89" s="104">
        <f t="shared" ca="1" si="13"/>
        <v>45853</v>
      </c>
      <c r="J89" s="7">
        <f>+EstadoSolicitudes[[#This Row],[Cargue estudio al OR]]</f>
        <v>0</v>
      </c>
      <c r="K89" s="104">
        <f t="shared" ca="1" si="14"/>
        <v>45867</v>
      </c>
      <c r="M89" s="104">
        <f>+EstadoSolicitudes[[#This Row],[Vigencia]]</f>
        <v>0</v>
      </c>
      <c r="N89" s="104">
        <f ca="1">+IF(tiempos[[#This Row],[Vigencia OR]]=0,(tiempos[[#This Row],[Plazo Verificación técnica de la documentación]]+175),tiempos[[#This Row],[Vigencia OR]])</f>
        <v>46042</v>
      </c>
      <c r="O89" s="104">
        <f ca="1">+tiempos[[#This Row],[Plazo de la conexión (sin prorroga)]]+90</f>
        <v>46132</v>
      </c>
      <c r="P89" s="7"/>
    </row>
    <row r="90" spans="1:16" x14ac:dyDescent="0.25">
      <c r="A90">
        <f>'ESTADO SOLICITUDES'!A90</f>
        <v>84</v>
      </c>
      <c r="B90" t="str">
        <f>'ESTADO SOLICITUDES'!B90</f>
        <v>SAN005_La Guacamaya - 2</v>
      </c>
      <c r="C90" t="str">
        <f>'ESTADO SOLICITUDES'!T90</f>
        <v>Espera</v>
      </c>
      <c r="D90" s="85">
        <f>'ESTADO SOLICITUDES'!K90</f>
        <v>62718039</v>
      </c>
      <c r="E90" s="7">
        <f>'ESTADO SOLICITUDES'!J90</f>
        <v>45706</v>
      </c>
      <c r="F90" s="104">
        <f t="shared" si="12"/>
        <v>45713</v>
      </c>
      <c r="G90" s="104"/>
      <c r="H90" s="104">
        <f>'ESTADO SOLICITUDES'!M90</f>
        <v>45728</v>
      </c>
      <c r="I90" s="104">
        <f t="shared" ca="1" si="13"/>
        <v>45868</v>
      </c>
      <c r="J90" s="7">
        <f>+EstadoSolicitudes[[#This Row],[Cargue estudio al OR]]</f>
        <v>0</v>
      </c>
      <c r="K90" s="104">
        <f t="shared" ca="1" si="14"/>
        <v>45882</v>
      </c>
      <c r="M90" s="104">
        <f>+EstadoSolicitudes[[#This Row],[Vigencia]]</f>
        <v>0</v>
      </c>
      <c r="N90" s="104">
        <f ca="1">+IF(tiempos[[#This Row],[Vigencia OR]]=0,(tiempos[[#This Row],[Plazo Verificación técnica de la documentación]]+175),tiempos[[#This Row],[Vigencia OR]])</f>
        <v>46057</v>
      </c>
      <c r="O90" s="104">
        <f ca="1">+tiempos[[#This Row],[Plazo de la conexión (sin prorroga)]]+90</f>
        <v>46147</v>
      </c>
      <c r="P90" s="7"/>
    </row>
    <row r="91" spans="1:16" x14ac:dyDescent="0.25">
      <c r="A91">
        <f>'ESTADO SOLICITUDES'!A91</f>
        <v>85</v>
      </c>
      <c r="B91" t="str">
        <f>'ESTADO SOLICITUDES'!B91</f>
        <v>SAN005_La Guacamaya - 3</v>
      </c>
      <c r="C91" t="str">
        <f>'ESTADO SOLICITUDES'!T91</f>
        <v>Espera</v>
      </c>
      <c r="D91" s="85">
        <f>'ESTADO SOLICITUDES'!K91</f>
        <v>62718441</v>
      </c>
      <c r="E91" s="7">
        <f>'ESTADO SOLICITUDES'!J91</f>
        <v>45706</v>
      </c>
      <c r="F91" s="104">
        <f t="shared" si="12"/>
        <v>45713</v>
      </c>
      <c r="G91" s="104"/>
      <c r="H91" s="104">
        <f>'ESTADO SOLICITUDES'!M91</f>
        <v>45728</v>
      </c>
      <c r="I91" s="104">
        <f t="shared" ca="1" si="13"/>
        <v>45868</v>
      </c>
      <c r="J91" s="7">
        <f>+EstadoSolicitudes[[#This Row],[Cargue estudio al OR]]</f>
        <v>0</v>
      </c>
      <c r="K91" s="104">
        <f t="shared" ca="1" si="14"/>
        <v>45882</v>
      </c>
      <c r="M91" s="104">
        <f>+EstadoSolicitudes[[#This Row],[Vigencia]]</f>
        <v>0</v>
      </c>
      <c r="N91" s="104">
        <f ca="1">+IF(tiempos[[#This Row],[Vigencia OR]]=0,(tiempos[[#This Row],[Plazo Verificación técnica de la documentación]]+175),tiempos[[#This Row],[Vigencia OR]])</f>
        <v>46057</v>
      </c>
      <c r="O91" s="104">
        <f ca="1">+tiempos[[#This Row],[Plazo de la conexión (sin prorroga)]]+90</f>
        <v>46147</v>
      </c>
      <c r="P91" s="7"/>
    </row>
    <row r="92" spans="1:16" x14ac:dyDescent="0.25">
      <c r="A92">
        <f>'ESTADO SOLICITUDES'!A92</f>
        <v>86</v>
      </c>
      <c r="B92" t="str">
        <f>'ESTADO SOLICITUDES'!B92</f>
        <v>CES013_LaFrancia 2</v>
      </c>
      <c r="C92" t="str">
        <f>'ESTADO SOLICITUDES'!T92</f>
        <v>Rechazado</v>
      </c>
      <c r="D92" s="85">
        <f>'ESTADO SOLICITUDES'!K92</f>
        <v>34355</v>
      </c>
      <c r="E92" s="7">
        <f>'ESTADO SOLICITUDES'!J92</f>
        <v>45707</v>
      </c>
      <c r="F92" s="104">
        <f t="shared" si="12"/>
        <v>45714</v>
      </c>
      <c r="G92" s="104"/>
      <c r="H92" s="104">
        <f>'ESTADO SOLICITUDES'!M92</f>
        <v>0</v>
      </c>
      <c r="I92" s="104">
        <f t="shared" ca="1" si="13"/>
        <v>46016</v>
      </c>
      <c r="J92" s="7">
        <f>+EstadoSolicitudes[[#This Row],[Cargue estudio al OR]]</f>
        <v>0</v>
      </c>
      <c r="K92" s="104">
        <f t="shared" ca="1" si="14"/>
        <v>46030</v>
      </c>
      <c r="M92" s="104">
        <f>+EstadoSolicitudes[[#This Row],[Vigencia]]</f>
        <v>0</v>
      </c>
      <c r="N92" s="104">
        <f ca="1">+IF(tiempos[[#This Row],[Vigencia OR]]=0,(tiempos[[#This Row],[Plazo Verificación técnica de la documentación]]+175),tiempos[[#This Row],[Vigencia OR]])</f>
        <v>46205</v>
      </c>
      <c r="O92" s="104">
        <f ca="1">+tiempos[[#This Row],[Plazo de la conexión (sin prorroga)]]+90</f>
        <v>46295</v>
      </c>
      <c r="P92" s="7"/>
    </row>
    <row r="93" spans="1:16" x14ac:dyDescent="0.25">
      <c r="A93">
        <f>'ESTADO SOLICITUDES'!A93</f>
        <v>87</v>
      </c>
      <c r="B93" t="str">
        <f>'ESTADO SOLICITUDES'!B93</f>
        <v>CES013_LaFrancia 3</v>
      </c>
      <c r="C93" t="str">
        <f>'ESTADO SOLICITUDES'!T93</f>
        <v>Rechazado</v>
      </c>
      <c r="D93" s="85">
        <f>'ESTADO SOLICITUDES'!K93</f>
        <v>0</v>
      </c>
      <c r="E93" s="7">
        <f>'ESTADO SOLICITUDES'!J93</f>
        <v>45707</v>
      </c>
      <c r="F93" s="104">
        <f t="shared" si="12"/>
        <v>45714</v>
      </c>
      <c r="G93" s="104"/>
      <c r="H93" s="104">
        <f>'ESTADO SOLICITUDES'!M93</f>
        <v>0</v>
      </c>
      <c r="I93" s="104">
        <f t="shared" ca="1" si="13"/>
        <v>46016</v>
      </c>
      <c r="J93" s="7">
        <f>+EstadoSolicitudes[[#This Row],[Cargue estudio al OR]]</f>
        <v>0</v>
      </c>
      <c r="K93" s="104">
        <f t="shared" ca="1" si="14"/>
        <v>46030</v>
      </c>
      <c r="M93" s="104">
        <f>+EstadoSolicitudes[[#This Row],[Vigencia]]</f>
        <v>0</v>
      </c>
      <c r="N93" s="104">
        <f ca="1">+IF(tiempos[[#This Row],[Vigencia OR]]=0,(tiempos[[#This Row],[Plazo Verificación técnica de la documentación]]+175),tiempos[[#This Row],[Vigencia OR]])</f>
        <v>46205</v>
      </c>
      <c r="O93" s="104">
        <f ca="1">+tiempos[[#This Row],[Plazo de la conexión (sin prorroga)]]+90</f>
        <v>46295</v>
      </c>
      <c r="P93" s="7"/>
    </row>
    <row r="94" spans="1:16" x14ac:dyDescent="0.25">
      <c r="A94">
        <f>'ESTADO SOLICITUDES'!A94</f>
        <v>88</v>
      </c>
      <c r="B94" t="str">
        <f>'ESTADO SOLICITUDES'!B94</f>
        <v>CES013_LaFrancia 4</v>
      </c>
      <c r="C94" t="str">
        <f>'ESTADO SOLICITUDES'!T94</f>
        <v>Rechazado</v>
      </c>
      <c r="D94" s="85">
        <f>'ESTADO SOLICITUDES'!K94</f>
        <v>0</v>
      </c>
      <c r="E94" s="7">
        <f>'ESTADO SOLICITUDES'!J94</f>
        <v>45707</v>
      </c>
      <c r="F94" s="104">
        <f t="shared" si="12"/>
        <v>45714</v>
      </c>
      <c r="G94" s="104"/>
      <c r="H94" s="104">
        <f>'ESTADO SOLICITUDES'!M94</f>
        <v>0</v>
      </c>
      <c r="I94" s="104">
        <f t="shared" ca="1" si="13"/>
        <v>46016</v>
      </c>
      <c r="J94" s="7">
        <f>+EstadoSolicitudes[[#This Row],[Cargue estudio al OR]]</f>
        <v>0</v>
      </c>
      <c r="K94" s="104">
        <f t="shared" ca="1" si="14"/>
        <v>46030</v>
      </c>
      <c r="M94" s="104">
        <f>+EstadoSolicitudes[[#This Row],[Vigencia]]</f>
        <v>0</v>
      </c>
      <c r="N94" s="104">
        <f ca="1">+IF(tiempos[[#This Row],[Vigencia OR]]=0,(tiempos[[#This Row],[Plazo Verificación técnica de la documentación]]+175),tiempos[[#This Row],[Vigencia OR]])</f>
        <v>46205</v>
      </c>
      <c r="O94" s="104">
        <f ca="1">+tiempos[[#This Row],[Plazo de la conexión (sin prorroga)]]+90</f>
        <v>46295</v>
      </c>
      <c r="P94" s="7"/>
    </row>
    <row r="95" spans="1:16" x14ac:dyDescent="0.25">
      <c r="A95">
        <f>'ESTADO SOLICITUDES'!A95</f>
        <v>89</v>
      </c>
      <c r="B95" t="str">
        <f>'ESTADO SOLICITUDES'!B95</f>
        <v>GUAJ001-Ramal 2</v>
      </c>
      <c r="C95" t="str">
        <f>'ESTADO SOLICITUDES'!T95</f>
        <v>Espera</v>
      </c>
      <c r="D95" s="85">
        <f>'ESTADO SOLICITUDES'!K95</f>
        <v>22949</v>
      </c>
      <c r="E95" s="7">
        <f>'ESTADO SOLICITUDES'!J95</f>
        <v>45707</v>
      </c>
      <c r="F95" s="104">
        <f t="shared" si="12"/>
        <v>45714</v>
      </c>
      <c r="G95" s="104"/>
      <c r="H95" s="104">
        <f>'ESTADO SOLICITUDES'!M95</f>
        <v>0</v>
      </c>
      <c r="I95" s="104">
        <f t="shared" ca="1" si="13"/>
        <v>46016</v>
      </c>
      <c r="J95" s="7">
        <f>+EstadoSolicitudes[[#This Row],[Cargue estudio al OR]]</f>
        <v>0</v>
      </c>
      <c r="K95" s="104">
        <f t="shared" ca="1" si="14"/>
        <v>46030</v>
      </c>
      <c r="M95" s="104">
        <f>+EstadoSolicitudes[[#This Row],[Vigencia]]</f>
        <v>0</v>
      </c>
      <c r="N95" s="104">
        <f ca="1">+IF(tiempos[[#This Row],[Vigencia OR]]=0,(tiempos[[#This Row],[Plazo Verificación técnica de la documentación]]+175),tiempos[[#This Row],[Vigencia OR]])</f>
        <v>46205</v>
      </c>
      <c r="O95" s="104">
        <f ca="1">+tiempos[[#This Row],[Plazo de la conexión (sin prorroga)]]+90</f>
        <v>46295</v>
      </c>
      <c r="P95" s="7"/>
    </row>
    <row r="96" spans="1:16" x14ac:dyDescent="0.25">
      <c r="A96">
        <f>'ESTADO SOLICITUDES'!A96</f>
        <v>90</v>
      </c>
      <c r="B96" t="str">
        <f>'ESTADO SOLICITUDES'!B96</f>
        <v>GUAJ001-Ramal 3</v>
      </c>
      <c r="C96" t="str">
        <f>'ESTADO SOLICITUDES'!T96</f>
        <v>Espera</v>
      </c>
      <c r="D96" s="85">
        <f>'ESTADO SOLICITUDES'!K96</f>
        <v>22950</v>
      </c>
      <c r="E96" s="7">
        <f>'ESTADO SOLICITUDES'!J96</f>
        <v>45707</v>
      </c>
      <c r="F96" s="104">
        <f t="shared" si="12"/>
        <v>45714</v>
      </c>
      <c r="G96" s="104"/>
      <c r="H96" s="104">
        <f>'ESTADO SOLICITUDES'!M96</f>
        <v>0</v>
      </c>
      <c r="I96" s="104">
        <f t="shared" ca="1" si="13"/>
        <v>46016</v>
      </c>
      <c r="J96" s="7">
        <f>+EstadoSolicitudes[[#This Row],[Cargue estudio al OR]]</f>
        <v>0</v>
      </c>
      <c r="K96" s="104">
        <f t="shared" ca="1" si="14"/>
        <v>46030</v>
      </c>
      <c r="M96" s="104">
        <f>+EstadoSolicitudes[[#This Row],[Vigencia]]</f>
        <v>0</v>
      </c>
      <c r="N96" s="104">
        <f ca="1">+IF(tiempos[[#This Row],[Vigencia OR]]=0,(tiempos[[#This Row],[Plazo Verificación técnica de la documentación]]+175),tiempos[[#This Row],[Vigencia OR]])</f>
        <v>46205</v>
      </c>
      <c r="O96" s="104">
        <f ca="1">+tiempos[[#This Row],[Plazo de la conexión (sin prorroga)]]+90</f>
        <v>46295</v>
      </c>
      <c r="P96" s="7"/>
    </row>
    <row r="97" spans="1:16" x14ac:dyDescent="0.25">
      <c r="A97">
        <f>'ESTADO SOLICITUDES'!A97</f>
        <v>91</v>
      </c>
      <c r="B97" t="str">
        <f>'ESTADO SOLICITUDES'!B97</f>
        <v>NAR014_Sandona</v>
      </c>
      <c r="C97" t="str">
        <f>'ESTADO SOLICITUDES'!T97</f>
        <v>Espera</v>
      </c>
      <c r="D97" s="85">
        <f>'ESTADO SOLICITUDES'!K97</f>
        <v>3701</v>
      </c>
      <c r="E97" s="7">
        <f>'ESTADO SOLICITUDES'!J97</f>
        <v>45708</v>
      </c>
      <c r="F97" s="104">
        <f t="shared" si="12"/>
        <v>45715</v>
      </c>
      <c r="G97" s="104"/>
      <c r="H97" s="104">
        <f>'ESTADO SOLICITUDES'!M97</f>
        <v>45730</v>
      </c>
      <c r="I97" s="104">
        <f t="shared" ca="1" si="13"/>
        <v>45870</v>
      </c>
      <c r="J97" s="7">
        <f>+EstadoSolicitudes[[#This Row],[Cargue estudio al OR]]</f>
        <v>0</v>
      </c>
      <c r="K97" s="104">
        <f t="shared" ca="1" si="14"/>
        <v>45884</v>
      </c>
      <c r="M97" s="104">
        <f>+EstadoSolicitudes[[#This Row],[Vigencia]]</f>
        <v>0</v>
      </c>
      <c r="N97" s="104">
        <f ca="1">+IF(tiempos[[#This Row],[Vigencia OR]]=0,(tiempos[[#This Row],[Plazo Verificación técnica de la documentación]]+175),tiempos[[#This Row],[Vigencia OR]])</f>
        <v>46059</v>
      </c>
      <c r="O97" s="104">
        <f ca="1">+tiempos[[#This Row],[Plazo de la conexión (sin prorroga)]]+90</f>
        <v>46149</v>
      </c>
      <c r="P97" s="7"/>
    </row>
    <row r="98" spans="1:16" x14ac:dyDescent="0.25">
      <c r="A98">
        <f>'ESTADO SOLICITUDES'!A98</f>
        <v>92</v>
      </c>
      <c r="B98" t="str">
        <f>'ESTADO SOLICITUDES'!B98</f>
        <v>NAR014_Sandona 2</v>
      </c>
      <c r="C98" t="str">
        <f>'ESTADO SOLICITUDES'!T98</f>
        <v>Espera</v>
      </c>
      <c r="D98" s="85">
        <f>'ESTADO SOLICITUDES'!K98</f>
        <v>3702</v>
      </c>
      <c r="E98" s="7">
        <f>'ESTADO SOLICITUDES'!J98</f>
        <v>45708</v>
      </c>
      <c r="F98" s="104">
        <f t="shared" si="12"/>
        <v>45715</v>
      </c>
      <c r="G98" s="104"/>
      <c r="H98" s="104">
        <f>'ESTADO SOLICITUDES'!M98</f>
        <v>45730</v>
      </c>
      <c r="I98" s="104">
        <f t="shared" ca="1" si="13"/>
        <v>45870</v>
      </c>
      <c r="J98" s="7">
        <f>+EstadoSolicitudes[[#This Row],[Cargue estudio al OR]]</f>
        <v>0</v>
      </c>
      <c r="K98" s="104">
        <f t="shared" ca="1" si="14"/>
        <v>45884</v>
      </c>
      <c r="M98" s="104">
        <f>+EstadoSolicitudes[[#This Row],[Vigencia]]</f>
        <v>0</v>
      </c>
      <c r="N98" s="104">
        <f ca="1">+IF(tiempos[[#This Row],[Vigencia OR]]=0,(tiempos[[#This Row],[Plazo Verificación técnica de la documentación]]+175),tiempos[[#This Row],[Vigencia OR]])</f>
        <v>46059</v>
      </c>
      <c r="O98" s="104">
        <f ca="1">+tiempos[[#This Row],[Plazo de la conexión (sin prorroga)]]+90</f>
        <v>46149</v>
      </c>
      <c r="P98" s="7"/>
    </row>
    <row r="99" spans="1:16" x14ac:dyDescent="0.25">
      <c r="A99">
        <f>'ESTADO SOLICITUDES'!A99</f>
        <v>93</v>
      </c>
      <c r="B99" t="str">
        <f>'ESTADO SOLICITUDES'!B99</f>
        <v>CAU053_La Barranca_1</v>
      </c>
      <c r="C99" t="str">
        <f>'ESTADO SOLICITUDES'!T99</f>
        <v>Rechazado</v>
      </c>
      <c r="D99" s="85">
        <f>'ESTADO SOLICITUDES'!K99</f>
        <v>0</v>
      </c>
      <c r="E99" s="7">
        <f>'ESTADO SOLICITUDES'!J99</f>
        <v>45699</v>
      </c>
      <c r="F99" s="104">
        <f t="shared" si="12"/>
        <v>45706</v>
      </c>
      <c r="G99" s="104"/>
      <c r="H99" s="104">
        <f>'ESTADO SOLICITUDES'!M99</f>
        <v>45706</v>
      </c>
      <c r="I99" s="104">
        <f t="shared" ca="1" si="13"/>
        <v>45846</v>
      </c>
      <c r="J99" s="7">
        <f>+EstadoSolicitudes[[#This Row],[Cargue estudio al OR]]</f>
        <v>0</v>
      </c>
      <c r="K99" s="104">
        <f t="shared" ca="1" si="14"/>
        <v>45860</v>
      </c>
      <c r="M99" s="104">
        <f>+EstadoSolicitudes[[#This Row],[Vigencia]]</f>
        <v>270</v>
      </c>
      <c r="N99" s="104">
        <f>+IF(tiempos[[#This Row],[Vigencia OR]]=0,(tiempos[[#This Row],[Plazo Verificación técnica de la documentación]]+175),tiempos[[#This Row],[Vigencia OR]])</f>
        <v>270</v>
      </c>
      <c r="O99" s="104">
        <f>+tiempos[[#This Row],[Plazo de la conexión (sin prorroga)]]+90</f>
        <v>360</v>
      </c>
      <c r="P99" s="7"/>
    </row>
    <row r="100" spans="1:16" x14ac:dyDescent="0.25">
      <c r="A100">
        <f>'ESTADO SOLICITUDES'!A100</f>
        <v>94</v>
      </c>
      <c r="B100" t="str">
        <f>'ESTADO SOLICITUDES'!B100</f>
        <v>CAU053_La Barranca_2</v>
      </c>
      <c r="C100" t="str">
        <f>'ESTADO SOLICITUDES'!T100</f>
        <v>Rechazado</v>
      </c>
      <c r="D100" s="85">
        <f>'ESTADO SOLICITUDES'!K100</f>
        <v>0</v>
      </c>
      <c r="E100" s="7">
        <f>'ESTADO SOLICITUDES'!J100</f>
        <v>45712</v>
      </c>
      <c r="F100" s="104">
        <f t="shared" si="12"/>
        <v>45719</v>
      </c>
      <c r="G100" s="104"/>
      <c r="H100" s="104">
        <f>'ESTADO SOLICITUDES'!M100</f>
        <v>45721</v>
      </c>
      <c r="I100" s="104">
        <f t="shared" ca="1" si="13"/>
        <v>45861</v>
      </c>
      <c r="J100" s="7">
        <f>+EstadoSolicitudes[[#This Row],[Cargue estudio al OR]]</f>
        <v>0</v>
      </c>
      <c r="K100" s="104">
        <f t="shared" ca="1" si="14"/>
        <v>45875</v>
      </c>
      <c r="M100" s="104">
        <f>+EstadoSolicitudes[[#This Row],[Vigencia]]</f>
        <v>270</v>
      </c>
      <c r="N100" s="104">
        <f>+IF(tiempos[[#This Row],[Vigencia OR]]=0,(tiempos[[#This Row],[Plazo Verificación técnica de la documentación]]+175),tiempos[[#This Row],[Vigencia OR]])</f>
        <v>270</v>
      </c>
      <c r="O100" s="104">
        <f>+tiempos[[#This Row],[Plazo de la conexión (sin prorroga)]]+90</f>
        <v>360</v>
      </c>
      <c r="P100" s="7"/>
    </row>
    <row r="101" spans="1:16" x14ac:dyDescent="0.25">
      <c r="A101">
        <f>'ESTADO SOLICITUDES'!A101</f>
        <v>95</v>
      </c>
      <c r="B101" t="str">
        <f>'ESTADO SOLICITUDES'!B101</f>
        <v>CAU053_La Barranca_3</v>
      </c>
      <c r="C101" t="str">
        <f>'ESTADO SOLICITUDES'!T101</f>
        <v>Rechazado</v>
      </c>
      <c r="D101" s="85">
        <f>'ESTADO SOLICITUDES'!K101</f>
        <v>0</v>
      </c>
      <c r="E101" s="7">
        <f>'ESTADO SOLICITUDES'!J101</f>
        <v>45712</v>
      </c>
      <c r="F101" s="104">
        <f t="shared" si="12"/>
        <v>45719</v>
      </c>
      <c r="G101" s="104"/>
      <c r="H101" s="104">
        <f>'ESTADO SOLICITUDES'!M101</f>
        <v>45721</v>
      </c>
      <c r="I101" s="104">
        <f t="shared" ca="1" si="13"/>
        <v>45861</v>
      </c>
      <c r="J101" s="7">
        <f>+EstadoSolicitudes[[#This Row],[Cargue estudio al OR]]</f>
        <v>0</v>
      </c>
      <c r="K101" s="104">
        <f t="shared" ca="1" si="14"/>
        <v>45875</v>
      </c>
      <c r="M101" s="104">
        <f>+EstadoSolicitudes[[#This Row],[Vigencia]]</f>
        <v>270</v>
      </c>
      <c r="N101" s="104">
        <f>+IF(tiempos[[#This Row],[Vigencia OR]]=0,(tiempos[[#This Row],[Plazo Verificación técnica de la documentación]]+175),tiempos[[#This Row],[Vigencia OR]])</f>
        <v>270</v>
      </c>
      <c r="O101" s="104">
        <f>+tiempos[[#This Row],[Plazo de la conexión (sin prorroga)]]+90</f>
        <v>360</v>
      </c>
      <c r="P101" s="7"/>
    </row>
    <row r="102" spans="1:16" x14ac:dyDescent="0.25">
      <c r="A102">
        <f>'ESTADO SOLICITUDES'!A102</f>
        <v>96</v>
      </c>
      <c r="B102" t="str">
        <f>'ESTADO SOLICITUDES'!B102</f>
        <v>CAU053_La Barranca_4</v>
      </c>
      <c r="C102" t="str">
        <f>'ESTADO SOLICITUDES'!T102</f>
        <v>Rechazado</v>
      </c>
      <c r="D102" s="85">
        <f>'ESTADO SOLICITUDES'!K102</f>
        <v>0</v>
      </c>
      <c r="E102" s="7">
        <f>'ESTADO SOLICITUDES'!J102</f>
        <v>45721</v>
      </c>
      <c r="F102" s="104">
        <f t="shared" si="12"/>
        <v>45728</v>
      </c>
      <c r="G102" s="104"/>
      <c r="H102" s="104">
        <f>'ESTADO SOLICITUDES'!M102</f>
        <v>45728</v>
      </c>
      <c r="I102" s="104">
        <f t="shared" ca="1" si="13"/>
        <v>45868</v>
      </c>
      <c r="J102" s="7">
        <f>+EstadoSolicitudes[[#This Row],[Cargue estudio al OR]]</f>
        <v>0</v>
      </c>
      <c r="K102" s="104">
        <f t="shared" ca="1" si="14"/>
        <v>45882</v>
      </c>
      <c r="M102" s="104">
        <f>+EstadoSolicitudes[[#This Row],[Vigencia]]</f>
        <v>270</v>
      </c>
      <c r="N102" s="104">
        <f>+IF(tiempos[[#This Row],[Vigencia OR]]=0,(tiempos[[#This Row],[Plazo Verificación técnica de la documentación]]+175),tiempos[[#This Row],[Vigencia OR]])</f>
        <v>270</v>
      </c>
      <c r="O102" s="104">
        <f>+tiempos[[#This Row],[Plazo de la conexión (sin prorroga)]]+90</f>
        <v>360</v>
      </c>
      <c r="P102" s="7"/>
    </row>
    <row r="103" spans="1:16" x14ac:dyDescent="0.25">
      <c r="A103">
        <f>'ESTADO SOLICITUDES'!A103</f>
        <v>97</v>
      </c>
      <c r="B103" t="str">
        <f>'ESTADO SOLICITUDES'!B103</f>
        <v>CAU037 - El Topacio 2</v>
      </c>
      <c r="C103" t="str">
        <f>'ESTADO SOLICITUDES'!T103</f>
        <v>Espera</v>
      </c>
      <c r="D103" s="85">
        <f>'ESTADO SOLICITUDES'!K103</f>
        <v>0</v>
      </c>
      <c r="E103" s="7">
        <f>'ESTADO SOLICITUDES'!J103</f>
        <v>45709</v>
      </c>
      <c r="F103" s="104">
        <f t="shared" si="12"/>
        <v>45716</v>
      </c>
      <c r="G103" s="104"/>
      <c r="H103" s="104">
        <f>'ESTADO SOLICITUDES'!M103</f>
        <v>45716</v>
      </c>
      <c r="I103" s="104">
        <f t="shared" ca="1" si="13"/>
        <v>45856</v>
      </c>
      <c r="J103" s="7">
        <f>+EstadoSolicitudes[[#This Row],[Cargue estudio al OR]]</f>
        <v>0</v>
      </c>
      <c r="K103" s="104">
        <f t="shared" ca="1" si="14"/>
        <v>45870</v>
      </c>
      <c r="M103" s="104">
        <f>+EstadoSolicitudes[[#This Row],[Vigencia]]</f>
        <v>0</v>
      </c>
      <c r="N103" s="104">
        <f ca="1">+IF(tiempos[[#This Row],[Vigencia OR]]=0,(tiempos[[#This Row],[Plazo Verificación técnica de la documentación]]+175),tiempos[[#This Row],[Vigencia OR]])</f>
        <v>46045</v>
      </c>
      <c r="O103" s="104">
        <f ca="1">+tiempos[[#This Row],[Plazo de la conexión (sin prorroga)]]+90</f>
        <v>46135</v>
      </c>
      <c r="P103" s="7"/>
    </row>
    <row r="104" spans="1:16" x14ac:dyDescent="0.25">
      <c r="A104">
        <f>'ESTADO SOLICITUDES'!A104</f>
        <v>98</v>
      </c>
      <c r="B104" t="str">
        <f>'ESTADO SOLICITUDES'!B104</f>
        <v>CAU037 - El Topacio 3</v>
      </c>
      <c r="C104" t="str">
        <f>'ESTADO SOLICITUDES'!T104</f>
        <v>Espera</v>
      </c>
      <c r="D104" s="85">
        <f>'ESTADO SOLICITUDES'!K104</f>
        <v>0</v>
      </c>
      <c r="E104" s="7">
        <f>'ESTADO SOLICITUDES'!J104</f>
        <v>45709</v>
      </c>
      <c r="F104" s="104">
        <f t="shared" si="12"/>
        <v>45716</v>
      </c>
      <c r="G104" s="104"/>
      <c r="H104" s="104">
        <f>'ESTADO SOLICITUDES'!M104</f>
        <v>45716</v>
      </c>
      <c r="I104" s="104">
        <f t="shared" ca="1" si="13"/>
        <v>45856</v>
      </c>
      <c r="J104" s="7">
        <f>+EstadoSolicitudes[[#This Row],[Cargue estudio al OR]]</f>
        <v>0</v>
      </c>
      <c r="K104" s="104">
        <f t="shared" ca="1" si="14"/>
        <v>45870</v>
      </c>
      <c r="M104" s="104">
        <f>+EstadoSolicitudes[[#This Row],[Vigencia]]</f>
        <v>0</v>
      </c>
      <c r="N104" s="104">
        <f ca="1">+IF(tiempos[[#This Row],[Vigencia OR]]=0,(tiempos[[#This Row],[Plazo Verificación técnica de la documentación]]+175),tiempos[[#This Row],[Vigencia OR]])</f>
        <v>46045</v>
      </c>
      <c r="O104" s="104">
        <f ca="1">+tiempos[[#This Row],[Plazo de la conexión (sin prorroga)]]+90</f>
        <v>46135</v>
      </c>
      <c r="P104" s="7"/>
    </row>
    <row r="105" spans="1:16" x14ac:dyDescent="0.25">
      <c r="A105">
        <f>'ESTADO SOLICITUDES'!A105</f>
        <v>99</v>
      </c>
      <c r="B105" t="str">
        <f>'ESTADO SOLICITUDES'!B105</f>
        <v>CAU040_El Porvenir - 2</v>
      </c>
      <c r="C105" t="str">
        <f>'ESTADO SOLICITUDES'!T105</f>
        <v>Espera</v>
      </c>
      <c r="D105" s="85">
        <f>'ESTADO SOLICITUDES'!K105</f>
        <v>0</v>
      </c>
      <c r="E105" s="7">
        <f>'ESTADO SOLICITUDES'!J105</f>
        <v>45709</v>
      </c>
      <c r="F105" s="104">
        <f t="shared" si="12"/>
        <v>45716</v>
      </c>
      <c r="G105" s="104"/>
      <c r="H105" s="104">
        <f>'ESTADO SOLICITUDES'!M105</f>
        <v>45720</v>
      </c>
      <c r="I105" s="104">
        <f t="shared" ca="1" si="13"/>
        <v>45860</v>
      </c>
      <c r="J105" s="7">
        <f>+EstadoSolicitudes[[#This Row],[Cargue estudio al OR]]</f>
        <v>0</v>
      </c>
      <c r="K105" s="104">
        <f t="shared" ca="1" si="14"/>
        <v>45874</v>
      </c>
      <c r="M105" s="104">
        <f>+EstadoSolicitudes[[#This Row],[Vigencia]]</f>
        <v>0</v>
      </c>
      <c r="N105" s="104">
        <f ca="1">+IF(tiempos[[#This Row],[Vigencia OR]]=0,(tiempos[[#This Row],[Plazo Verificación técnica de la documentación]]+175),tiempos[[#This Row],[Vigencia OR]])</f>
        <v>46049</v>
      </c>
      <c r="O105" s="104">
        <f ca="1">+tiempos[[#This Row],[Plazo de la conexión (sin prorroga)]]+90</f>
        <v>46139</v>
      </c>
      <c r="P105" s="7"/>
    </row>
    <row r="106" spans="1:16" x14ac:dyDescent="0.25">
      <c r="A106">
        <f>'ESTADO SOLICITUDES'!A106</f>
        <v>100</v>
      </c>
      <c r="B106" t="str">
        <f>'ESTADO SOLICITUDES'!B106</f>
        <v>CAU040_El Porvenir - 3</v>
      </c>
      <c r="C106" t="str">
        <f>'ESTADO SOLICITUDES'!T106</f>
        <v>Espera</v>
      </c>
      <c r="D106" s="85">
        <f>'ESTADO SOLICITUDES'!K106</f>
        <v>0</v>
      </c>
      <c r="E106" s="7">
        <f>'ESTADO SOLICITUDES'!J106</f>
        <v>45709</v>
      </c>
      <c r="F106" s="104">
        <f t="shared" si="12"/>
        <v>45716</v>
      </c>
      <c r="G106" s="104"/>
      <c r="H106" s="104">
        <f>'ESTADO SOLICITUDES'!M106</f>
        <v>45720</v>
      </c>
      <c r="I106" s="104">
        <f t="shared" ca="1" si="13"/>
        <v>45860</v>
      </c>
      <c r="J106" s="7">
        <f>+EstadoSolicitudes[[#This Row],[Cargue estudio al OR]]</f>
        <v>0</v>
      </c>
      <c r="K106" s="104">
        <f t="shared" ca="1" si="14"/>
        <v>45874</v>
      </c>
      <c r="M106" s="104">
        <f>+EstadoSolicitudes[[#This Row],[Vigencia]]</f>
        <v>0</v>
      </c>
      <c r="N106" s="104">
        <f ca="1">+IF(tiempos[[#This Row],[Vigencia OR]]=0,(tiempos[[#This Row],[Plazo Verificación técnica de la documentación]]+175),tiempos[[#This Row],[Vigencia OR]])</f>
        <v>46049</v>
      </c>
      <c r="O106" s="104">
        <f ca="1">+tiempos[[#This Row],[Plazo de la conexión (sin prorroga)]]+90</f>
        <v>46139</v>
      </c>
      <c r="P106" s="7"/>
    </row>
    <row r="107" spans="1:16" x14ac:dyDescent="0.25">
      <c r="A107">
        <f>'ESTADO SOLICITUDES'!A107</f>
        <v>101</v>
      </c>
      <c r="B107" t="str">
        <f>'ESTADO SOLICITUDES'!B107</f>
        <v>CAU040_El Porvenir - 4</v>
      </c>
      <c r="C107" t="str">
        <f>'ESTADO SOLICITUDES'!T107</f>
        <v>Espera</v>
      </c>
      <c r="D107" s="85">
        <f>'ESTADO SOLICITUDES'!K107</f>
        <v>0</v>
      </c>
      <c r="E107" s="7">
        <f>'ESTADO SOLICITUDES'!J107</f>
        <v>45709</v>
      </c>
      <c r="F107" s="104">
        <f t="shared" si="12"/>
        <v>45716</v>
      </c>
      <c r="G107" s="104"/>
      <c r="H107" s="104">
        <f>'ESTADO SOLICITUDES'!M107</f>
        <v>45720</v>
      </c>
      <c r="I107" s="104">
        <f t="shared" ca="1" si="13"/>
        <v>45860</v>
      </c>
      <c r="J107" s="7">
        <f>+EstadoSolicitudes[[#This Row],[Cargue estudio al OR]]</f>
        <v>0</v>
      </c>
      <c r="K107" s="104">
        <f t="shared" ca="1" si="14"/>
        <v>45874</v>
      </c>
      <c r="M107" s="104">
        <f>+EstadoSolicitudes[[#This Row],[Vigencia]]</f>
        <v>0</v>
      </c>
      <c r="N107" s="104">
        <f ca="1">+IF(tiempos[[#This Row],[Vigencia OR]]=0,(tiempos[[#This Row],[Plazo Verificación técnica de la documentación]]+175),tiempos[[#This Row],[Vigencia OR]])</f>
        <v>46049</v>
      </c>
      <c r="O107" s="104">
        <f ca="1">+tiempos[[#This Row],[Plazo de la conexión (sin prorroga)]]+90</f>
        <v>46139</v>
      </c>
      <c r="P107" s="7"/>
    </row>
    <row r="108" spans="1:16" x14ac:dyDescent="0.25">
      <c r="A108">
        <f>'ESTADO SOLICITUDES'!A108</f>
        <v>102</v>
      </c>
      <c r="B108" t="str">
        <f>'ESTADO SOLICITUDES'!B108</f>
        <v>GUJ006_Los Deseos_1</v>
      </c>
      <c r="C108" t="str">
        <f>'ESTADO SOLICITUDES'!T108</f>
        <v>Espera</v>
      </c>
      <c r="D108" s="85">
        <f>'ESTADO SOLICITUDES'!K108</f>
        <v>23029</v>
      </c>
      <c r="E108" s="7">
        <f>'ESTADO SOLICITUDES'!J108</f>
        <v>45714</v>
      </c>
      <c r="F108" s="104">
        <f t="shared" si="12"/>
        <v>45721</v>
      </c>
      <c r="G108" s="104"/>
      <c r="H108" s="104">
        <f>'ESTADO SOLICITUDES'!M108</f>
        <v>45765</v>
      </c>
      <c r="I108" s="104">
        <f t="shared" ca="1" si="13"/>
        <v>45905</v>
      </c>
      <c r="J108" s="7">
        <f>+EstadoSolicitudes[[#This Row],[Cargue estudio al OR]]</f>
        <v>0</v>
      </c>
      <c r="K108" s="104">
        <f t="shared" ca="1" si="14"/>
        <v>45919</v>
      </c>
      <c r="M108" s="104">
        <f>+EstadoSolicitudes[[#This Row],[Vigencia]]</f>
        <v>0</v>
      </c>
      <c r="N108" s="104">
        <f ca="1">+IF(tiempos[[#This Row],[Vigencia OR]]=0,(tiempos[[#This Row],[Plazo Verificación técnica de la documentación]]+175),tiempos[[#This Row],[Vigencia OR]])</f>
        <v>46094</v>
      </c>
      <c r="O108" s="104">
        <f ca="1">+tiempos[[#This Row],[Plazo de la conexión (sin prorroga)]]+90</f>
        <v>46184</v>
      </c>
      <c r="P108" s="7"/>
    </row>
    <row r="109" spans="1:16" x14ac:dyDescent="0.25">
      <c r="A109">
        <f>'ESTADO SOLICITUDES'!A109</f>
        <v>103</v>
      </c>
      <c r="B109" t="str">
        <f>'ESTADO SOLICITUDES'!B109</f>
        <v>GUJ006_Los Deseos_2</v>
      </c>
      <c r="C109" t="str">
        <f>'ESTADO SOLICITUDES'!T109</f>
        <v>Espera</v>
      </c>
      <c r="D109" s="85">
        <f>'ESTADO SOLICITUDES'!K109</f>
        <v>23032</v>
      </c>
      <c r="E109" s="7">
        <f>'ESTADO SOLICITUDES'!J109</f>
        <v>45714</v>
      </c>
      <c r="F109" s="104">
        <f t="shared" si="12"/>
        <v>45721</v>
      </c>
      <c r="G109" s="104"/>
      <c r="H109" s="104">
        <f>'ESTADO SOLICITUDES'!M109</f>
        <v>45782</v>
      </c>
      <c r="I109" s="104">
        <f t="shared" ca="1" si="13"/>
        <v>45922</v>
      </c>
      <c r="J109" s="7">
        <f>+EstadoSolicitudes[[#This Row],[Cargue estudio al OR]]</f>
        <v>0</v>
      </c>
      <c r="K109" s="104">
        <f t="shared" ca="1" si="14"/>
        <v>45936</v>
      </c>
      <c r="M109" s="104">
        <f>+EstadoSolicitudes[[#This Row],[Vigencia]]</f>
        <v>0</v>
      </c>
      <c r="N109" s="104">
        <f ca="1">+IF(tiempos[[#This Row],[Vigencia OR]]=0,(tiempos[[#This Row],[Plazo Verificación técnica de la documentación]]+175),tiempos[[#This Row],[Vigencia OR]])</f>
        <v>46111</v>
      </c>
      <c r="O109" s="104">
        <f ca="1">+tiempos[[#This Row],[Plazo de la conexión (sin prorroga)]]+90</f>
        <v>46201</v>
      </c>
      <c r="P109" s="7"/>
    </row>
    <row r="110" spans="1:16" x14ac:dyDescent="0.25">
      <c r="A110">
        <f>'ESTADO SOLICITUDES'!A110</f>
        <v>104</v>
      </c>
      <c r="B110" t="str">
        <f>'ESTADO SOLICITUDES'!B110</f>
        <v>GUJ006_Los Deseos_3</v>
      </c>
      <c r="C110" t="str">
        <f>'ESTADO SOLICITUDES'!T110</f>
        <v>Espera</v>
      </c>
      <c r="D110" s="85">
        <f>'ESTADO SOLICITUDES'!K110</f>
        <v>23034</v>
      </c>
      <c r="E110" s="7">
        <f>'ESTADO SOLICITUDES'!J110</f>
        <v>45714</v>
      </c>
      <c r="F110" s="104">
        <f t="shared" si="12"/>
        <v>45721</v>
      </c>
      <c r="G110" s="104"/>
      <c r="H110" s="104">
        <f>'ESTADO SOLICITUDES'!M110</f>
        <v>45782</v>
      </c>
      <c r="I110" s="104">
        <f t="shared" ca="1" si="13"/>
        <v>45922</v>
      </c>
      <c r="J110" s="7">
        <f>+EstadoSolicitudes[[#This Row],[Cargue estudio al OR]]</f>
        <v>0</v>
      </c>
      <c r="K110" s="104">
        <f t="shared" ca="1" si="14"/>
        <v>45936</v>
      </c>
      <c r="M110" s="104">
        <f>+EstadoSolicitudes[[#This Row],[Vigencia]]</f>
        <v>0</v>
      </c>
      <c r="N110" s="104">
        <f ca="1">+IF(tiempos[[#This Row],[Vigencia OR]]=0,(tiempos[[#This Row],[Plazo Verificación técnica de la documentación]]+175),tiempos[[#This Row],[Vigencia OR]])</f>
        <v>46111</v>
      </c>
      <c r="O110" s="104">
        <f ca="1">+tiempos[[#This Row],[Plazo de la conexión (sin prorroga)]]+90</f>
        <v>46201</v>
      </c>
      <c r="P110" s="7"/>
    </row>
    <row r="111" spans="1:16" x14ac:dyDescent="0.25">
      <c r="A111">
        <f>'ESTADO SOLICITUDES'!A111</f>
        <v>105</v>
      </c>
      <c r="B111" t="str">
        <f>'ESTADO SOLICITUDES'!B111</f>
        <v>GUJ005_Gran Chaparral_2</v>
      </c>
      <c r="C111" t="str">
        <f>'ESTADO SOLICITUDES'!T111</f>
        <v>Espera</v>
      </c>
      <c r="D111" s="85">
        <f>'ESTADO SOLICITUDES'!K111</f>
        <v>23037</v>
      </c>
      <c r="E111" s="7">
        <f>'ESTADO SOLICITUDES'!J111</f>
        <v>45714</v>
      </c>
      <c r="F111" s="104">
        <f t="shared" si="12"/>
        <v>45721</v>
      </c>
      <c r="G111" s="104"/>
      <c r="H111" s="104">
        <f>'ESTADO SOLICITUDES'!M111</f>
        <v>45782</v>
      </c>
      <c r="I111" s="104">
        <f t="shared" ca="1" si="13"/>
        <v>45922</v>
      </c>
      <c r="J111" s="7">
        <f>+EstadoSolicitudes[[#This Row],[Cargue estudio al OR]]</f>
        <v>0</v>
      </c>
      <c r="K111" s="104">
        <f t="shared" ca="1" si="14"/>
        <v>45936</v>
      </c>
      <c r="M111" s="104">
        <f>+EstadoSolicitudes[[#This Row],[Vigencia]]</f>
        <v>0</v>
      </c>
      <c r="N111" s="104">
        <f ca="1">+IF(tiempos[[#This Row],[Vigencia OR]]=0,(tiempos[[#This Row],[Plazo Verificación técnica de la documentación]]+175),tiempos[[#This Row],[Vigencia OR]])</f>
        <v>46111</v>
      </c>
      <c r="O111" s="104">
        <f ca="1">+tiempos[[#This Row],[Plazo de la conexión (sin prorroga)]]+90</f>
        <v>46201</v>
      </c>
      <c r="P111" s="7"/>
    </row>
    <row r="112" spans="1:16" x14ac:dyDescent="0.25">
      <c r="A112">
        <f>'ESTADO SOLICITUDES'!A112</f>
        <v>106</v>
      </c>
      <c r="B112" t="str">
        <f>'ESTADO SOLICITUDES'!B112</f>
        <v>GUJ005_Gran Chaparral_3</v>
      </c>
      <c r="C112" t="str">
        <f>'ESTADO SOLICITUDES'!T112</f>
        <v>Espera</v>
      </c>
      <c r="D112" s="85">
        <f>'ESTADO SOLICITUDES'!K112</f>
        <v>23038</v>
      </c>
      <c r="E112" s="7">
        <f>'ESTADO SOLICITUDES'!J112</f>
        <v>45714</v>
      </c>
      <c r="F112" s="104">
        <f t="shared" si="12"/>
        <v>45721</v>
      </c>
      <c r="G112" s="104"/>
      <c r="H112" s="104">
        <f>'ESTADO SOLICITUDES'!M112</f>
        <v>45782</v>
      </c>
      <c r="I112" s="104">
        <f t="shared" ca="1" si="13"/>
        <v>45922</v>
      </c>
      <c r="J112" s="7">
        <f>+EstadoSolicitudes[[#This Row],[Cargue estudio al OR]]</f>
        <v>0</v>
      </c>
      <c r="K112" s="104">
        <f t="shared" ca="1" si="14"/>
        <v>45936</v>
      </c>
      <c r="M112" s="104">
        <f>+EstadoSolicitudes[[#This Row],[Vigencia]]</f>
        <v>0</v>
      </c>
      <c r="N112" s="104">
        <f ca="1">+IF(tiempos[[#This Row],[Vigencia OR]]=0,(tiempos[[#This Row],[Plazo Verificación técnica de la documentación]]+175),tiempos[[#This Row],[Vigencia OR]])</f>
        <v>46111</v>
      </c>
      <c r="O112" s="104">
        <f ca="1">+tiempos[[#This Row],[Plazo de la conexión (sin prorroga)]]+90</f>
        <v>46201</v>
      </c>
      <c r="P112" s="7"/>
    </row>
    <row r="113" spans="1:16" x14ac:dyDescent="0.25">
      <c r="A113">
        <f>'ESTADO SOLICITUDES'!A113</f>
        <v>107</v>
      </c>
      <c r="B113" t="str">
        <f>'ESTADO SOLICITUDES'!B113</f>
        <v>GUJ003_La Esperanza_1</v>
      </c>
      <c r="C113" t="str">
        <f>'ESTADO SOLICITUDES'!T113</f>
        <v>Espera</v>
      </c>
      <c r="D113" s="85">
        <f>'ESTADO SOLICITUDES'!K113</f>
        <v>23039</v>
      </c>
      <c r="E113" s="7">
        <f>'ESTADO SOLICITUDES'!J113</f>
        <v>45714</v>
      </c>
      <c r="F113" s="104">
        <f t="shared" ref="F113:F144" si="15">WORKDAY(E113,5)</f>
        <v>45721</v>
      </c>
      <c r="G113" s="104"/>
      <c r="H113" s="104">
        <f>'ESTADO SOLICITUDES'!M113</f>
        <v>45775</v>
      </c>
      <c r="I113" s="104">
        <f t="shared" ref="I113:I144" ca="1" si="16">IF(H113=0, TODAY() + 140, H113 + 140)</f>
        <v>45915</v>
      </c>
      <c r="J113" s="7">
        <f>+EstadoSolicitudes[[#This Row],[Cargue estudio al OR]]</f>
        <v>0</v>
      </c>
      <c r="K113" s="104">
        <f t="shared" ref="K113:K144" ca="1" si="17">WORKDAY(IF(J113=0, I113, J113), 10)</f>
        <v>45929</v>
      </c>
      <c r="M113" s="104">
        <f>+EstadoSolicitudes[[#This Row],[Vigencia]]</f>
        <v>0</v>
      </c>
      <c r="N113" s="104">
        <f ca="1">+IF(tiempos[[#This Row],[Vigencia OR]]=0,(tiempos[[#This Row],[Plazo Verificación técnica de la documentación]]+175),tiempos[[#This Row],[Vigencia OR]])</f>
        <v>46104</v>
      </c>
      <c r="O113" s="104">
        <f ca="1">+tiempos[[#This Row],[Plazo de la conexión (sin prorroga)]]+90</f>
        <v>46194</v>
      </c>
      <c r="P113" s="7"/>
    </row>
    <row r="114" spans="1:16" x14ac:dyDescent="0.25">
      <c r="A114">
        <f>'ESTADO SOLICITUDES'!A114</f>
        <v>108</v>
      </c>
      <c r="B114" t="str">
        <f>'ESTADO SOLICITUDES'!B114</f>
        <v>GUJ003_La Esperanza_2</v>
      </c>
      <c r="C114" t="str">
        <f>'ESTADO SOLICITUDES'!T114</f>
        <v>Espera</v>
      </c>
      <c r="D114" s="85">
        <f>'ESTADO SOLICITUDES'!K114</f>
        <v>23040</v>
      </c>
      <c r="E114" s="7">
        <f>'ESTADO SOLICITUDES'!J114</f>
        <v>45714</v>
      </c>
      <c r="F114" s="104">
        <f t="shared" si="15"/>
        <v>45721</v>
      </c>
      <c r="G114" s="104"/>
      <c r="H114" s="104">
        <f>'ESTADO SOLICITUDES'!M114</f>
        <v>45775</v>
      </c>
      <c r="I114" s="104">
        <f t="shared" ca="1" si="16"/>
        <v>45915</v>
      </c>
      <c r="J114" s="7">
        <f>+EstadoSolicitudes[[#This Row],[Cargue estudio al OR]]</f>
        <v>0</v>
      </c>
      <c r="K114" s="104">
        <f t="shared" ca="1" si="17"/>
        <v>45929</v>
      </c>
      <c r="M114" s="104">
        <f>+EstadoSolicitudes[[#This Row],[Vigencia]]</f>
        <v>0</v>
      </c>
      <c r="N114" s="104">
        <f ca="1">+IF(tiempos[[#This Row],[Vigencia OR]]=0,(tiempos[[#This Row],[Plazo Verificación técnica de la documentación]]+175),tiempos[[#This Row],[Vigencia OR]])</f>
        <v>46104</v>
      </c>
      <c r="O114" s="104">
        <f ca="1">+tiempos[[#This Row],[Plazo de la conexión (sin prorroga)]]+90</f>
        <v>46194</v>
      </c>
      <c r="P114" s="7"/>
    </row>
    <row r="115" spans="1:16" x14ac:dyDescent="0.25">
      <c r="A115">
        <f>'ESTADO SOLICITUDES'!A115</f>
        <v>109</v>
      </c>
      <c r="B115" t="str">
        <f>'ESTADO SOLICITUDES'!B115</f>
        <v>GUJ003_La Esperanza_3</v>
      </c>
      <c r="C115" t="str">
        <f>'ESTADO SOLICITUDES'!T115</f>
        <v>Espera</v>
      </c>
      <c r="D115" s="85">
        <f>'ESTADO SOLICITUDES'!K115</f>
        <v>23041</v>
      </c>
      <c r="E115" s="7">
        <f>'ESTADO SOLICITUDES'!J115</f>
        <v>45714</v>
      </c>
      <c r="F115" s="104">
        <f t="shared" si="15"/>
        <v>45721</v>
      </c>
      <c r="G115" s="104"/>
      <c r="H115" s="104">
        <f>'ESTADO SOLICITUDES'!M115</f>
        <v>45775</v>
      </c>
      <c r="I115" s="104">
        <f t="shared" ca="1" si="16"/>
        <v>45915</v>
      </c>
      <c r="J115" s="7">
        <f>+EstadoSolicitudes[[#This Row],[Cargue estudio al OR]]</f>
        <v>0</v>
      </c>
      <c r="K115" s="104">
        <f t="shared" ca="1" si="17"/>
        <v>45929</v>
      </c>
      <c r="M115" s="104">
        <f>+EstadoSolicitudes[[#This Row],[Vigencia]]</f>
        <v>0</v>
      </c>
      <c r="N115" s="104">
        <f ca="1">+IF(tiempos[[#This Row],[Vigencia OR]]=0,(tiempos[[#This Row],[Plazo Verificación técnica de la documentación]]+175),tiempos[[#This Row],[Vigencia OR]])</f>
        <v>46104</v>
      </c>
      <c r="O115" s="104">
        <f ca="1">+tiempos[[#This Row],[Plazo de la conexión (sin prorroga)]]+90</f>
        <v>46194</v>
      </c>
      <c r="P115" s="7"/>
    </row>
    <row r="116" spans="1:16" x14ac:dyDescent="0.25">
      <c r="A116">
        <f>'ESTADO SOLICITUDES'!A116</f>
        <v>110</v>
      </c>
      <c r="B116" t="str">
        <f>'ESTADO SOLICITUDES'!B116</f>
        <v>VAL006_El Socorro_2</v>
      </c>
      <c r="C116" t="str">
        <f>'ESTADO SOLICITUDES'!T116</f>
        <v>Espera</v>
      </c>
      <c r="D116" s="85">
        <f>'ESTADO SOLICITUDES'!K116</f>
        <v>0</v>
      </c>
      <c r="E116" s="7">
        <f>'ESTADO SOLICITUDES'!J116</f>
        <v>45714</v>
      </c>
      <c r="F116" s="104">
        <f t="shared" si="15"/>
        <v>45721</v>
      </c>
      <c r="G116" s="104"/>
      <c r="H116" s="104">
        <f>'ESTADO SOLICITUDES'!M116</f>
        <v>0</v>
      </c>
      <c r="I116" s="104">
        <f t="shared" ca="1" si="16"/>
        <v>46016</v>
      </c>
      <c r="J116" s="7">
        <f>+EstadoSolicitudes[[#This Row],[Cargue estudio al OR]]</f>
        <v>0</v>
      </c>
      <c r="K116" s="104">
        <f t="shared" ca="1" si="17"/>
        <v>46030</v>
      </c>
      <c r="M116" s="104">
        <f>+EstadoSolicitudes[[#This Row],[Vigencia]]</f>
        <v>0</v>
      </c>
      <c r="N116" s="104">
        <f ca="1">+IF(tiempos[[#This Row],[Vigencia OR]]=0,(tiempos[[#This Row],[Plazo Verificación técnica de la documentación]]+175),tiempos[[#This Row],[Vigencia OR]])</f>
        <v>46205</v>
      </c>
      <c r="O116" s="104">
        <f ca="1">+tiempos[[#This Row],[Plazo de la conexión (sin prorroga)]]+90</f>
        <v>46295</v>
      </c>
      <c r="P116" s="7"/>
    </row>
    <row r="117" spans="1:16" x14ac:dyDescent="0.25">
      <c r="A117">
        <f>'ESTADO SOLICITUDES'!A117</f>
        <v>111</v>
      </c>
      <c r="B117" t="str">
        <f>'ESTADO SOLICITUDES'!B117</f>
        <v>VAL006_El Socorro_3</v>
      </c>
      <c r="C117" t="str">
        <f>'ESTADO SOLICITUDES'!T117</f>
        <v>Espera</v>
      </c>
      <c r="D117" s="85">
        <f>'ESTADO SOLICITUDES'!K117</f>
        <v>0</v>
      </c>
      <c r="E117" s="7">
        <f>'ESTADO SOLICITUDES'!J117</f>
        <v>45714</v>
      </c>
      <c r="F117" s="104">
        <f t="shared" si="15"/>
        <v>45721</v>
      </c>
      <c r="G117" s="104"/>
      <c r="H117" s="104">
        <f>'ESTADO SOLICITUDES'!M117</f>
        <v>0</v>
      </c>
      <c r="I117" s="104">
        <f t="shared" ca="1" si="16"/>
        <v>46016</v>
      </c>
      <c r="J117" s="7">
        <f>+EstadoSolicitudes[[#This Row],[Cargue estudio al OR]]</f>
        <v>0</v>
      </c>
      <c r="K117" s="104">
        <f t="shared" ca="1" si="17"/>
        <v>46030</v>
      </c>
      <c r="M117" s="104">
        <f>+EstadoSolicitudes[[#This Row],[Vigencia]]</f>
        <v>0</v>
      </c>
      <c r="N117" s="104">
        <f ca="1">+IF(tiempos[[#This Row],[Vigencia OR]]=0,(tiempos[[#This Row],[Plazo Verificación técnica de la documentación]]+175),tiempos[[#This Row],[Vigencia OR]])</f>
        <v>46205</v>
      </c>
      <c r="O117" s="104">
        <f ca="1">+tiempos[[#This Row],[Plazo de la conexión (sin prorroga)]]+90</f>
        <v>46295</v>
      </c>
      <c r="P117" s="7"/>
    </row>
    <row r="118" spans="1:16" x14ac:dyDescent="0.25">
      <c r="A118">
        <f>'ESTADO SOLICITUDES'!A118</f>
        <v>112</v>
      </c>
      <c r="B118" t="str">
        <f>'ESTADO SOLICITUDES'!B118</f>
        <v>CES016_La Carolina_1</v>
      </c>
      <c r="C118" t="str">
        <f>'ESTADO SOLICITUDES'!T118</f>
        <v>Espera</v>
      </c>
      <c r="D118" s="85">
        <f>'ESTADO SOLICITUDES'!K118</f>
        <v>34874</v>
      </c>
      <c r="E118" s="7">
        <f>'ESTADO SOLICITUDES'!J118</f>
        <v>45715</v>
      </c>
      <c r="F118" s="104">
        <f t="shared" si="15"/>
        <v>45722</v>
      </c>
      <c r="G118" s="104"/>
      <c r="H118" s="104">
        <f>'ESTADO SOLICITUDES'!M118</f>
        <v>0</v>
      </c>
      <c r="I118" s="104">
        <f t="shared" ca="1" si="16"/>
        <v>46016</v>
      </c>
      <c r="J118" s="7">
        <f>+EstadoSolicitudes[[#This Row],[Cargue estudio al OR]]</f>
        <v>0</v>
      </c>
      <c r="K118" s="104">
        <f t="shared" ca="1" si="17"/>
        <v>46030</v>
      </c>
      <c r="M118" s="104">
        <f>+EstadoSolicitudes[[#This Row],[Vigencia]]</f>
        <v>0</v>
      </c>
      <c r="N118" s="104">
        <f ca="1">+IF(tiempos[[#This Row],[Vigencia OR]]=0,(tiempos[[#This Row],[Plazo Verificación técnica de la documentación]]+175),tiempos[[#This Row],[Vigencia OR]])</f>
        <v>46205</v>
      </c>
      <c r="O118" s="104">
        <f ca="1">+tiempos[[#This Row],[Plazo de la conexión (sin prorroga)]]+90</f>
        <v>46295</v>
      </c>
      <c r="P118" s="7"/>
    </row>
    <row r="119" spans="1:16" x14ac:dyDescent="0.25">
      <c r="A119">
        <f>'ESTADO SOLICITUDES'!A119</f>
        <v>113</v>
      </c>
      <c r="B119" t="str">
        <f>'ESTADO SOLICITUDES'!B119</f>
        <v>CES016_La Carolina_2</v>
      </c>
      <c r="C119" t="str">
        <f>'ESTADO SOLICITUDES'!T119</f>
        <v>Espera</v>
      </c>
      <c r="D119" s="85">
        <f>'ESTADO SOLICITUDES'!K119</f>
        <v>34875</v>
      </c>
      <c r="E119" s="7">
        <f>'ESTADO SOLICITUDES'!J119</f>
        <v>45715</v>
      </c>
      <c r="F119" s="104">
        <f t="shared" si="15"/>
        <v>45722</v>
      </c>
      <c r="G119" s="104"/>
      <c r="H119" s="104">
        <f>'ESTADO SOLICITUDES'!M119</f>
        <v>0</v>
      </c>
      <c r="I119" s="104">
        <f t="shared" ca="1" si="16"/>
        <v>46016</v>
      </c>
      <c r="J119" s="7">
        <f>+EstadoSolicitudes[[#This Row],[Cargue estudio al OR]]</f>
        <v>0</v>
      </c>
      <c r="K119" s="104">
        <f t="shared" ca="1" si="17"/>
        <v>46030</v>
      </c>
      <c r="M119" s="104">
        <f>+EstadoSolicitudes[[#This Row],[Vigencia]]</f>
        <v>0</v>
      </c>
      <c r="N119" s="104">
        <f ca="1">+IF(tiempos[[#This Row],[Vigencia OR]]=0,(tiempos[[#This Row],[Plazo Verificación técnica de la documentación]]+175),tiempos[[#This Row],[Vigencia OR]])</f>
        <v>46205</v>
      </c>
      <c r="O119" s="104">
        <f ca="1">+tiempos[[#This Row],[Plazo de la conexión (sin prorroga)]]+90</f>
        <v>46295</v>
      </c>
      <c r="P119" s="7"/>
    </row>
    <row r="120" spans="1:16" x14ac:dyDescent="0.25">
      <c r="A120">
        <f>'ESTADO SOLICITUDES'!A120</f>
        <v>114</v>
      </c>
      <c r="B120" t="str">
        <f>'ESTADO SOLICITUDES'!B120</f>
        <v>CES016_La Carolina_3</v>
      </c>
      <c r="C120" t="str">
        <f>'ESTADO SOLICITUDES'!T120</f>
        <v>Espera</v>
      </c>
      <c r="D120" s="85">
        <f>'ESTADO SOLICITUDES'!K120</f>
        <v>34876</v>
      </c>
      <c r="E120" s="7">
        <f>'ESTADO SOLICITUDES'!J120</f>
        <v>45715</v>
      </c>
      <c r="F120" s="104">
        <f t="shared" si="15"/>
        <v>45722</v>
      </c>
      <c r="G120" s="104"/>
      <c r="H120" s="104">
        <f>'ESTADO SOLICITUDES'!M120</f>
        <v>0</v>
      </c>
      <c r="I120" s="104">
        <f t="shared" ca="1" si="16"/>
        <v>46016</v>
      </c>
      <c r="J120" s="7">
        <f>+EstadoSolicitudes[[#This Row],[Cargue estudio al OR]]</f>
        <v>0</v>
      </c>
      <c r="K120" s="104">
        <f t="shared" ca="1" si="17"/>
        <v>46030</v>
      </c>
      <c r="M120" s="104">
        <f>+EstadoSolicitudes[[#This Row],[Vigencia]]</f>
        <v>0</v>
      </c>
      <c r="N120" s="104">
        <f ca="1">+IF(tiempos[[#This Row],[Vigencia OR]]=0,(tiempos[[#This Row],[Plazo Verificación técnica de la documentación]]+175),tiempos[[#This Row],[Vigencia OR]])</f>
        <v>46205</v>
      </c>
      <c r="O120" s="104">
        <f ca="1">+tiempos[[#This Row],[Plazo de la conexión (sin prorroga)]]+90</f>
        <v>46295</v>
      </c>
      <c r="P120" s="7"/>
    </row>
    <row r="121" spans="1:16" x14ac:dyDescent="0.25">
      <c r="A121">
        <f>'ESTADO SOLICITUDES'!A121</f>
        <v>115</v>
      </c>
      <c r="B121" t="str">
        <f>'ESTADO SOLICITUDES'!B121</f>
        <v>CES017_Panorama_2</v>
      </c>
      <c r="C121" t="str">
        <f>'ESTADO SOLICITUDES'!T121</f>
        <v>Espera</v>
      </c>
      <c r="D121" s="85">
        <f>'ESTADO SOLICITUDES'!K121</f>
        <v>34877</v>
      </c>
      <c r="E121" s="7">
        <f>'ESTADO SOLICITUDES'!J121</f>
        <v>45715</v>
      </c>
      <c r="F121" s="104">
        <f t="shared" si="15"/>
        <v>45722</v>
      </c>
      <c r="G121" s="104"/>
      <c r="H121" s="104">
        <f>'ESTADO SOLICITUDES'!M121</f>
        <v>0</v>
      </c>
      <c r="I121" s="104">
        <f t="shared" ca="1" si="16"/>
        <v>46016</v>
      </c>
      <c r="J121" s="7">
        <f>+EstadoSolicitudes[[#This Row],[Cargue estudio al OR]]</f>
        <v>0</v>
      </c>
      <c r="K121" s="104">
        <f t="shared" ca="1" si="17"/>
        <v>46030</v>
      </c>
      <c r="M121" s="104">
        <f>+EstadoSolicitudes[[#This Row],[Vigencia]]</f>
        <v>0</v>
      </c>
      <c r="N121" s="104">
        <f ca="1">+IF(tiempos[[#This Row],[Vigencia OR]]=0,(tiempos[[#This Row],[Plazo Verificación técnica de la documentación]]+175),tiempos[[#This Row],[Vigencia OR]])</f>
        <v>46205</v>
      </c>
      <c r="O121" s="104">
        <f ca="1">+tiempos[[#This Row],[Plazo de la conexión (sin prorroga)]]+90</f>
        <v>46295</v>
      </c>
      <c r="P121" s="7"/>
    </row>
    <row r="122" spans="1:16" x14ac:dyDescent="0.25">
      <c r="A122">
        <f>'ESTADO SOLICITUDES'!A122</f>
        <v>116</v>
      </c>
      <c r="B122" t="str">
        <f>'ESTADO SOLICITUDES'!B122</f>
        <v>CES017_Panorama_3</v>
      </c>
      <c r="C122" t="str">
        <f>'ESTADO SOLICITUDES'!T122</f>
        <v>Espera</v>
      </c>
      <c r="D122" s="85">
        <f>'ESTADO SOLICITUDES'!K122</f>
        <v>34878</v>
      </c>
      <c r="E122" s="7">
        <f>'ESTADO SOLICITUDES'!J122</f>
        <v>45715</v>
      </c>
      <c r="F122" s="104">
        <f t="shared" si="15"/>
        <v>45722</v>
      </c>
      <c r="G122" s="104"/>
      <c r="H122" s="104">
        <f>'ESTADO SOLICITUDES'!M122</f>
        <v>0</v>
      </c>
      <c r="I122" s="104">
        <f t="shared" ca="1" si="16"/>
        <v>46016</v>
      </c>
      <c r="J122" s="7">
        <f>+EstadoSolicitudes[[#This Row],[Cargue estudio al OR]]</f>
        <v>0</v>
      </c>
      <c r="K122" s="104">
        <f t="shared" ca="1" si="17"/>
        <v>46030</v>
      </c>
      <c r="M122" s="104">
        <f>+EstadoSolicitudes[[#This Row],[Vigencia]]</f>
        <v>0</v>
      </c>
      <c r="N122" s="104">
        <f ca="1">+IF(tiempos[[#This Row],[Vigencia OR]]=0,(tiempos[[#This Row],[Plazo Verificación técnica de la documentación]]+175),tiempos[[#This Row],[Vigencia OR]])</f>
        <v>46205</v>
      </c>
      <c r="O122" s="104">
        <f ca="1">+tiempos[[#This Row],[Plazo de la conexión (sin prorroga)]]+90</f>
        <v>46295</v>
      </c>
      <c r="P122" s="7"/>
    </row>
    <row r="123" spans="1:16" x14ac:dyDescent="0.25">
      <c r="A123">
        <f>'ESTADO SOLICITUDES'!A123</f>
        <v>117</v>
      </c>
      <c r="B123" t="str">
        <f>'ESTADO SOLICITUDES'!B123</f>
        <v>CAU044_ElPrado_2</v>
      </c>
      <c r="C123" t="str">
        <f>'ESTADO SOLICITUDES'!T123</f>
        <v>Espera</v>
      </c>
      <c r="D123" s="85">
        <f>'ESTADO SOLICITUDES'!K123</f>
        <v>0</v>
      </c>
      <c r="E123" s="7">
        <f>'ESTADO SOLICITUDES'!J123</f>
        <v>45715</v>
      </c>
      <c r="F123" s="104">
        <f t="shared" si="15"/>
        <v>45722</v>
      </c>
      <c r="G123" s="104"/>
      <c r="H123" s="104">
        <f>'ESTADO SOLICITUDES'!M123</f>
        <v>45723</v>
      </c>
      <c r="I123" s="104">
        <f t="shared" ca="1" si="16"/>
        <v>45863</v>
      </c>
      <c r="J123" s="7">
        <f>+EstadoSolicitudes[[#This Row],[Cargue estudio al OR]]</f>
        <v>0</v>
      </c>
      <c r="K123" s="104">
        <f t="shared" ca="1" si="17"/>
        <v>45877</v>
      </c>
      <c r="M123" s="104">
        <f>+EstadoSolicitudes[[#This Row],[Vigencia]]</f>
        <v>0</v>
      </c>
      <c r="N123" s="104">
        <f ca="1">+IF(tiempos[[#This Row],[Vigencia OR]]=0,(tiempos[[#This Row],[Plazo Verificación técnica de la documentación]]+175),tiempos[[#This Row],[Vigencia OR]])</f>
        <v>46052</v>
      </c>
      <c r="O123" s="104">
        <f ca="1">+tiempos[[#This Row],[Plazo de la conexión (sin prorroga)]]+90</f>
        <v>46142</v>
      </c>
      <c r="P123" s="7"/>
    </row>
    <row r="124" spans="1:16" x14ac:dyDescent="0.25">
      <c r="A124">
        <f>'ESTADO SOLICITUDES'!A124</f>
        <v>118</v>
      </c>
      <c r="B124" t="str">
        <f>'ESTADO SOLICITUDES'!B124</f>
        <v>CAU044_ElPrado_3</v>
      </c>
      <c r="C124" t="str">
        <f>'ESTADO SOLICITUDES'!T124</f>
        <v>Espera</v>
      </c>
      <c r="D124" s="85">
        <f>'ESTADO SOLICITUDES'!K124</f>
        <v>0</v>
      </c>
      <c r="E124" s="7">
        <f>'ESTADO SOLICITUDES'!J124</f>
        <v>45715</v>
      </c>
      <c r="F124" s="104">
        <f t="shared" si="15"/>
        <v>45722</v>
      </c>
      <c r="G124" s="104"/>
      <c r="H124" s="104">
        <f>'ESTADO SOLICITUDES'!M124</f>
        <v>45723</v>
      </c>
      <c r="I124" s="104">
        <f t="shared" ca="1" si="16"/>
        <v>45863</v>
      </c>
      <c r="J124" s="7">
        <f>+EstadoSolicitudes[[#This Row],[Cargue estudio al OR]]</f>
        <v>0</v>
      </c>
      <c r="K124" s="104">
        <f t="shared" ca="1" si="17"/>
        <v>45877</v>
      </c>
      <c r="M124" s="104">
        <f>+EstadoSolicitudes[[#This Row],[Vigencia]]</f>
        <v>0</v>
      </c>
      <c r="N124" s="104">
        <f ca="1">+IF(tiempos[[#This Row],[Vigencia OR]]=0,(tiempos[[#This Row],[Plazo Verificación técnica de la documentación]]+175),tiempos[[#This Row],[Vigencia OR]])</f>
        <v>46052</v>
      </c>
      <c r="O124" s="104">
        <f ca="1">+tiempos[[#This Row],[Plazo de la conexión (sin prorroga)]]+90</f>
        <v>46142</v>
      </c>
      <c r="P124" s="7"/>
    </row>
    <row r="125" spans="1:16" x14ac:dyDescent="0.25">
      <c r="A125">
        <f>'ESTADO SOLICITUDES'!A125</f>
        <v>119</v>
      </c>
      <c r="B125" t="str">
        <f>'ESTADO SOLICITUDES'!B125</f>
        <v>CAU039_El Carmelo_2</v>
      </c>
      <c r="C125" t="str">
        <f>'ESTADO SOLICITUDES'!T125</f>
        <v>Espera</v>
      </c>
      <c r="D125" s="85">
        <f>'ESTADO SOLICITUDES'!K125</f>
        <v>0</v>
      </c>
      <c r="E125" s="7">
        <f>'ESTADO SOLICITUDES'!J125</f>
        <v>45715</v>
      </c>
      <c r="F125" s="104">
        <f t="shared" si="15"/>
        <v>45722</v>
      </c>
      <c r="G125" s="104"/>
      <c r="H125" s="104">
        <f>'ESTADO SOLICITUDES'!M125</f>
        <v>45723</v>
      </c>
      <c r="I125" s="104">
        <f t="shared" ca="1" si="16"/>
        <v>45863</v>
      </c>
      <c r="J125" s="7">
        <f>+EstadoSolicitudes[[#This Row],[Cargue estudio al OR]]</f>
        <v>0</v>
      </c>
      <c r="K125" s="104">
        <f t="shared" ca="1" si="17"/>
        <v>45877</v>
      </c>
      <c r="M125" s="104">
        <f>+EstadoSolicitudes[[#This Row],[Vigencia]]</f>
        <v>0</v>
      </c>
      <c r="N125" s="104">
        <f ca="1">+IF(tiempos[[#This Row],[Vigencia OR]]=0,(tiempos[[#This Row],[Plazo Verificación técnica de la documentación]]+175),tiempos[[#This Row],[Vigencia OR]])</f>
        <v>46052</v>
      </c>
      <c r="O125" s="104">
        <f ca="1">+tiempos[[#This Row],[Plazo de la conexión (sin prorroga)]]+90</f>
        <v>46142</v>
      </c>
      <c r="P125" s="7"/>
    </row>
    <row r="126" spans="1:16" x14ac:dyDescent="0.25">
      <c r="A126">
        <f>'ESTADO SOLICITUDES'!A126</f>
        <v>120</v>
      </c>
      <c r="B126" t="str">
        <f>'ESTADO SOLICITUDES'!B126</f>
        <v>CAU039_El Carmelo_3</v>
      </c>
      <c r="C126" t="str">
        <f>'ESTADO SOLICITUDES'!T126</f>
        <v>Espera</v>
      </c>
      <c r="D126" s="85">
        <f>'ESTADO SOLICITUDES'!K126</f>
        <v>0</v>
      </c>
      <c r="E126" s="7">
        <f>'ESTADO SOLICITUDES'!J126</f>
        <v>45715</v>
      </c>
      <c r="F126" s="104">
        <f t="shared" si="15"/>
        <v>45722</v>
      </c>
      <c r="G126" s="104"/>
      <c r="H126" s="104">
        <f>'ESTADO SOLICITUDES'!M126</f>
        <v>45723</v>
      </c>
      <c r="I126" s="104">
        <f t="shared" ca="1" si="16"/>
        <v>45863</v>
      </c>
      <c r="J126" s="7">
        <f>+EstadoSolicitudes[[#This Row],[Cargue estudio al OR]]</f>
        <v>0</v>
      </c>
      <c r="K126" s="104">
        <f t="shared" ca="1" si="17"/>
        <v>45877</v>
      </c>
      <c r="M126" s="104">
        <f>+EstadoSolicitudes[[#This Row],[Vigencia]]</f>
        <v>0</v>
      </c>
      <c r="N126" s="104">
        <f ca="1">+IF(tiempos[[#This Row],[Vigencia OR]]=0,(tiempos[[#This Row],[Plazo Verificación técnica de la documentación]]+175),tiempos[[#This Row],[Vigencia OR]])</f>
        <v>46052</v>
      </c>
      <c r="O126" s="104">
        <f ca="1">+tiempos[[#This Row],[Plazo de la conexión (sin prorroga)]]+90</f>
        <v>46142</v>
      </c>
      <c r="P126" s="7"/>
    </row>
    <row r="127" spans="1:16" x14ac:dyDescent="0.25">
      <c r="A127">
        <f>'ESTADO SOLICITUDES'!A127</f>
        <v>121</v>
      </c>
      <c r="B127" t="str">
        <f>'ESTADO SOLICITUDES'!B127</f>
        <v>SAN010_Andrade_1</v>
      </c>
      <c r="C127" t="str">
        <f>'ESTADO SOLICITUDES'!T127</f>
        <v>Espera</v>
      </c>
      <c r="D127" s="85">
        <f>'ESTADO SOLICITUDES'!K127</f>
        <v>62886676</v>
      </c>
      <c r="E127" s="7">
        <f>'ESTADO SOLICITUDES'!J127</f>
        <v>45715</v>
      </c>
      <c r="F127" s="104">
        <f t="shared" si="15"/>
        <v>45722</v>
      </c>
      <c r="G127" s="104"/>
      <c r="H127" s="104">
        <f>'ESTADO SOLICITUDES'!M127</f>
        <v>45728</v>
      </c>
      <c r="I127" s="104">
        <f t="shared" ca="1" si="16"/>
        <v>45868</v>
      </c>
      <c r="J127" s="7">
        <f>+EstadoSolicitudes[[#This Row],[Cargue estudio al OR]]</f>
        <v>0</v>
      </c>
      <c r="K127" s="104">
        <f t="shared" ca="1" si="17"/>
        <v>45882</v>
      </c>
      <c r="M127" s="104">
        <f>+EstadoSolicitudes[[#This Row],[Vigencia]]</f>
        <v>0</v>
      </c>
      <c r="N127" s="104">
        <f ca="1">+IF(tiempos[[#This Row],[Vigencia OR]]=0,(tiempos[[#This Row],[Plazo Verificación técnica de la documentación]]+175),tiempos[[#This Row],[Vigencia OR]])</f>
        <v>46057</v>
      </c>
      <c r="O127" s="104">
        <f ca="1">+tiempos[[#This Row],[Plazo de la conexión (sin prorroga)]]+90</f>
        <v>46147</v>
      </c>
      <c r="P127" s="7"/>
    </row>
    <row r="128" spans="1:16" x14ac:dyDescent="0.25">
      <c r="A128">
        <f>'ESTADO SOLICITUDES'!A128</f>
        <v>122</v>
      </c>
      <c r="B128" t="str">
        <f>'ESTADO SOLICITUDES'!B128</f>
        <v>SAN010_Andrade_2</v>
      </c>
      <c r="C128" t="str">
        <f>'ESTADO SOLICITUDES'!T128</f>
        <v>Espera</v>
      </c>
      <c r="D128" s="85">
        <f>'ESTADO SOLICITUDES'!K128</f>
        <v>62886877</v>
      </c>
      <c r="E128" s="7">
        <f>'ESTADO SOLICITUDES'!J128</f>
        <v>45715</v>
      </c>
      <c r="F128" s="104">
        <f t="shared" si="15"/>
        <v>45722</v>
      </c>
      <c r="G128" s="104"/>
      <c r="H128" s="104">
        <f>'ESTADO SOLICITUDES'!M128</f>
        <v>45728</v>
      </c>
      <c r="I128" s="104">
        <f t="shared" ca="1" si="16"/>
        <v>45868</v>
      </c>
      <c r="J128" s="7">
        <f>+EstadoSolicitudes[[#This Row],[Cargue estudio al OR]]</f>
        <v>0</v>
      </c>
      <c r="K128" s="104">
        <f t="shared" ca="1" si="17"/>
        <v>45882</v>
      </c>
      <c r="M128" s="104">
        <f>+EstadoSolicitudes[[#This Row],[Vigencia]]</f>
        <v>0</v>
      </c>
      <c r="N128" s="104">
        <f ca="1">+IF(tiempos[[#This Row],[Vigencia OR]]=0,(tiempos[[#This Row],[Plazo Verificación técnica de la documentación]]+175),tiempos[[#This Row],[Vigencia OR]])</f>
        <v>46057</v>
      </c>
      <c r="O128" s="104">
        <f ca="1">+tiempos[[#This Row],[Plazo de la conexión (sin prorroga)]]+90</f>
        <v>46147</v>
      </c>
      <c r="P128" s="7"/>
    </row>
    <row r="129" spans="1:16" x14ac:dyDescent="0.25">
      <c r="A129">
        <f>'ESTADO SOLICITUDES'!A129</f>
        <v>123</v>
      </c>
      <c r="B129" t="str">
        <f>'ESTADO SOLICITUDES'!B129</f>
        <v>SAN010_Andrade_3</v>
      </c>
      <c r="C129" t="str">
        <f>'ESTADO SOLICITUDES'!T129</f>
        <v>Espera</v>
      </c>
      <c r="D129" s="85">
        <f>'ESTADO SOLICITUDES'!K129</f>
        <v>62888311</v>
      </c>
      <c r="E129" s="7">
        <f>'ESTADO SOLICITUDES'!J129</f>
        <v>45715</v>
      </c>
      <c r="F129" s="104">
        <f t="shared" si="15"/>
        <v>45722</v>
      </c>
      <c r="G129" s="104"/>
      <c r="H129" s="104">
        <f>'ESTADO SOLICITUDES'!M129</f>
        <v>45728</v>
      </c>
      <c r="I129" s="104">
        <f t="shared" ca="1" si="16"/>
        <v>45868</v>
      </c>
      <c r="J129" s="7">
        <f>+EstadoSolicitudes[[#This Row],[Cargue estudio al OR]]</f>
        <v>0</v>
      </c>
      <c r="K129" s="104">
        <f t="shared" ca="1" si="17"/>
        <v>45882</v>
      </c>
      <c r="M129" s="104">
        <f>+EstadoSolicitudes[[#This Row],[Vigencia]]</f>
        <v>0</v>
      </c>
      <c r="N129" s="104">
        <f ca="1">+IF(tiempos[[#This Row],[Vigencia OR]]=0,(tiempos[[#This Row],[Plazo Verificación técnica de la documentación]]+175),tiempos[[#This Row],[Vigencia OR]])</f>
        <v>46057</v>
      </c>
      <c r="O129" s="104">
        <f ca="1">+tiempos[[#This Row],[Plazo de la conexión (sin prorroga)]]+90</f>
        <v>46147</v>
      </c>
      <c r="P129" s="7"/>
    </row>
    <row r="130" spans="1:16" x14ac:dyDescent="0.25">
      <c r="A130">
        <f>'ESTADO SOLICITUDES'!A130</f>
        <v>124</v>
      </c>
      <c r="B130" t="str">
        <f>'ESTADO SOLICITUDES'!B130</f>
        <v>CES016_La Carolina_1</v>
      </c>
      <c r="C130" t="str">
        <f>'ESTADO SOLICITUDES'!T130</f>
        <v>Espera</v>
      </c>
      <c r="D130" s="85">
        <f>'ESTADO SOLICITUDES'!K130</f>
        <v>34994</v>
      </c>
      <c r="E130" s="7">
        <f>'ESTADO SOLICITUDES'!J130</f>
        <v>45715</v>
      </c>
      <c r="F130" s="104">
        <f t="shared" si="15"/>
        <v>45722</v>
      </c>
      <c r="G130" s="104"/>
      <c r="H130" s="104">
        <f>'ESTADO SOLICITUDES'!M130</f>
        <v>0</v>
      </c>
      <c r="I130" s="104">
        <f t="shared" ca="1" si="16"/>
        <v>46016</v>
      </c>
      <c r="J130" s="7">
        <f>+EstadoSolicitudes[[#This Row],[Cargue estudio al OR]]</f>
        <v>0</v>
      </c>
      <c r="K130" s="104">
        <f t="shared" ca="1" si="17"/>
        <v>46030</v>
      </c>
      <c r="M130" s="104">
        <f>+EstadoSolicitudes[[#This Row],[Vigencia]]</f>
        <v>0</v>
      </c>
      <c r="N130" s="104">
        <f ca="1">+IF(tiempos[[#This Row],[Vigencia OR]]=0,(tiempos[[#This Row],[Plazo Verificación técnica de la documentación]]+175),tiempos[[#This Row],[Vigencia OR]])</f>
        <v>46205</v>
      </c>
      <c r="O130" s="104">
        <f ca="1">+tiempos[[#This Row],[Plazo de la conexión (sin prorroga)]]+90</f>
        <v>46295</v>
      </c>
      <c r="P130" s="7"/>
    </row>
    <row r="131" spans="1:16" x14ac:dyDescent="0.25">
      <c r="A131">
        <f>'ESTADO SOLICITUDES'!A131</f>
        <v>125</v>
      </c>
      <c r="B131" t="str">
        <f>'ESTADO SOLICITUDES'!B131</f>
        <v>CES016_La Carolina_2</v>
      </c>
      <c r="C131" t="str">
        <f>'ESTADO SOLICITUDES'!T131</f>
        <v>Espera</v>
      </c>
      <c r="D131" s="85">
        <f>'ESTADO SOLICITUDES'!K131</f>
        <v>34995</v>
      </c>
      <c r="E131" s="7">
        <f>'ESTADO SOLICITUDES'!J131</f>
        <v>45715</v>
      </c>
      <c r="F131" s="104">
        <f t="shared" si="15"/>
        <v>45722</v>
      </c>
      <c r="G131" s="104"/>
      <c r="H131" s="104">
        <f>'ESTADO SOLICITUDES'!M131</f>
        <v>0</v>
      </c>
      <c r="I131" s="104">
        <f t="shared" ca="1" si="16"/>
        <v>46016</v>
      </c>
      <c r="J131" s="7">
        <f>+EstadoSolicitudes[[#This Row],[Cargue estudio al OR]]</f>
        <v>0</v>
      </c>
      <c r="K131" s="104">
        <f t="shared" ca="1" si="17"/>
        <v>46030</v>
      </c>
      <c r="M131" s="104">
        <f>+EstadoSolicitudes[[#This Row],[Vigencia]]</f>
        <v>0</v>
      </c>
      <c r="N131" s="104">
        <f ca="1">+IF(tiempos[[#This Row],[Vigencia OR]]=0,(tiempos[[#This Row],[Plazo Verificación técnica de la documentación]]+175),tiempos[[#This Row],[Vigencia OR]])</f>
        <v>46205</v>
      </c>
      <c r="O131" s="104">
        <f ca="1">+tiempos[[#This Row],[Plazo de la conexión (sin prorroga)]]+90</f>
        <v>46295</v>
      </c>
      <c r="P131" s="7"/>
    </row>
    <row r="132" spans="1:16" x14ac:dyDescent="0.25">
      <c r="A132">
        <f>'ESTADO SOLICITUDES'!A132</f>
        <v>126</v>
      </c>
      <c r="B132" t="str">
        <f>'ESTADO SOLICITUDES'!B132</f>
        <v>CES016_La Carolina_3</v>
      </c>
      <c r="C132" t="str">
        <f>'ESTADO SOLICITUDES'!T132</f>
        <v>Espera</v>
      </c>
      <c r="D132" s="85">
        <f>'ESTADO SOLICITUDES'!K132</f>
        <v>34996</v>
      </c>
      <c r="E132" s="7">
        <f>'ESTADO SOLICITUDES'!J132</f>
        <v>45715</v>
      </c>
      <c r="F132" s="104">
        <f t="shared" si="15"/>
        <v>45722</v>
      </c>
      <c r="G132" s="104"/>
      <c r="H132" s="104">
        <f>'ESTADO SOLICITUDES'!M132</f>
        <v>0</v>
      </c>
      <c r="I132" s="104">
        <f t="shared" ca="1" si="16"/>
        <v>46016</v>
      </c>
      <c r="J132" s="7">
        <f>+EstadoSolicitudes[[#This Row],[Cargue estudio al OR]]</f>
        <v>0</v>
      </c>
      <c r="K132" s="104">
        <f t="shared" ca="1" si="17"/>
        <v>46030</v>
      </c>
      <c r="M132" s="104">
        <f>+EstadoSolicitudes[[#This Row],[Vigencia]]</f>
        <v>0</v>
      </c>
      <c r="N132" s="104">
        <f ca="1">+IF(tiempos[[#This Row],[Vigencia OR]]=0,(tiempos[[#This Row],[Plazo Verificación técnica de la documentación]]+175),tiempos[[#This Row],[Vigencia OR]])</f>
        <v>46205</v>
      </c>
      <c r="O132" s="104">
        <f ca="1">+tiempos[[#This Row],[Plazo de la conexión (sin prorroga)]]+90</f>
        <v>46295</v>
      </c>
      <c r="P132" s="7"/>
    </row>
    <row r="133" spans="1:16" x14ac:dyDescent="0.25">
      <c r="A133">
        <f>'ESTADO SOLICITUDES'!A133</f>
        <v>127</v>
      </c>
      <c r="B133" t="str">
        <f>'ESTADO SOLICITUDES'!B133</f>
        <v>BOY002_Tincita_1</v>
      </c>
      <c r="C133" t="str">
        <f>'ESTADO SOLICITUDES'!T133</f>
        <v>Espera</v>
      </c>
      <c r="D133" s="85">
        <f>'ESTADO SOLICITUDES'!K133</f>
        <v>15485</v>
      </c>
      <c r="E133" s="7">
        <f>'ESTADO SOLICITUDES'!J133</f>
        <v>45720</v>
      </c>
      <c r="F133" s="104">
        <f t="shared" si="15"/>
        <v>45727</v>
      </c>
      <c r="G133" s="104"/>
      <c r="H133" s="104">
        <f>'ESTADO SOLICITUDES'!M133</f>
        <v>45734</v>
      </c>
      <c r="I133" s="104">
        <f t="shared" ca="1" si="16"/>
        <v>45874</v>
      </c>
      <c r="J133" s="7">
        <f>+EstadoSolicitudes[[#This Row],[Cargue estudio al OR]]</f>
        <v>0</v>
      </c>
      <c r="K133" s="104">
        <f t="shared" ca="1" si="17"/>
        <v>45888</v>
      </c>
      <c r="M133" s="104">
        <f>+EstadoSolicitudes[[#This Row],[Vigencia]]</f>
        <v>0</v>
      </c>
      <c r="N133" s="104">
        <f ca="1">+IF(tiempos[[#This Row],[Vigencia OR]]=0,(tiempos[[#This Row],[Plazo Verificación técnica de la documentación]]+175),tiempos[[#This Row],[Vigencia OR]])</f>
        <v>46063</v>
      </c>
      <c r="O133" s="104">
        <f ca="1">+tiempos[[#This Row],[Plazo de la conexión (sin prorroga)]]+90</f>
        <v>46153</v>
      </c>
      <c r="P133" s="7"/>
    </row>
    <row r="134" spans="1:16" x14ac:dyDescent="0.25">
      <c r="A134">
        <f>'ESTADO SOLICITUDES'!A134</f>
        <v>128</v>
      </c>
      <c r="B134" t="str">
        <f>'ESTADO SOLICITUDES'!B134</f>
        <v>BOY002_Tincita_2</v>
      </c>
      <c r="C134" t="str">
        <f>'ESTADO SOLICITUDES'!T134</f>
        <v>Espera</v>
      </c>
      <c r="D134" s="85">
        <f>'ESTADO SOLICITUDES'!K134</f>
        <v>15486</v>
      </c>
      <c r="E134" s="7">
        <f>'ESTADO SOLICITUDES'!J134</f>
        <v>45720</v>
      </c>
      <c r="F134" s="104">
        <f t="shared" si="15"/>
        <v>45727</v>
      </c>
      <c r="G134" s="104"/>
      <c r="H134" s="104">
        <f>'ESTADO SOLICITUDES'!M134</f>
        <v>45734</v>
      </c>
      <c r="I134" s="104">
        <f t="shared" ca="1" si="16"/>
        <v>45874</v>
      </c>
      <c r="J134" s="7">
        <f>+EstadoSolicitudes[[#This Row],[Cargue estudio al OR]]</f>
        <v>0</v>
      </c>
      <c r="K134" s="104">
        <f t="shared" ca="1" si="17"/>
        <v>45888</v>
      </c>
      <c r="M134" s="104">
        <f>+EstadoSolicitudes[[#This Row],[Vigencia]]</f>
        <v>0</v>
      </c>
      <c r="N134" s="104">
        <f ca="1">+IF(tiempos[[#This Row],[Vigencia OR]]=0,(tiempos[[#This Row],[Plazo Verificación técnica de la documentación]]+175),tiempos[[#This Row],[Vigencia OR]])</f>
        <v>46063</v>
      </c>
      <c r="O134" s="104">
        <f ca="1">+tiempos[[#This Row],[Plazo de la conexión (sin prorroga)]]+90</f>
        <v>46153</v>
      </c>
      <c r="P134" s="7"/>
    </row>
    <row r="135" spans="1:16" x14ac:dyDescent="0.25">
      <c r="A135">
        <f>'ESTADO SOLICITUDES'!A135</f>
        <v>129</v>
      </c>
      <c r="B135" t="str">
        <f>'ESTADO SOLICITUDES'!B135</f>
        <v>BOY002_Tincita_3</v>
      </c>
      <c r="C135" t="str">
        <f>'ESTADO SOLICITUDES'!T135</f>
        <v>Espera</v>
      </c>
      <c r="D135" s="85">
        <f>'ESTADO SOLICITUDES'!K135</f>
        <v>15487</v>
      </c>
      <c r="E135" s="7">
        <f>'ESTADO SOLICITUDES'!J135</f>
        <v>45720</v>
      </c>
      <c r="F135" s="104">
        <f t="shared" si="15"/>
        <v>45727</v>
      </c>
      <c r="G135" s="104"/>
      <c r="H135" s="104">
        <f>'ESTADO SOLICITUDES'!M135</f>
        <v>45734</v>
      </c>
      <c r="I135" s="104">
        <f t="shared" ca="1" si="16"/>
        <v>45874</v>
      </c>
      <c r="J135" s="7">
        <f>+EstadoSolicitudes[[#This Row],[Cargue estudio al OR]]</f>
        <v>0</v>
      </c>
      <c r="K135" s="104">
        <f t="shared" ca="1" si="17"/>
        <v>45888</v>
      </c>
      <c r="M135" s="104">
        <f>+EstadoSolicitudes[[#This Row],[Vigencia]]</f>
        <v>0</v>
      </c>
      <c r="N135" s="104">
        <f ca="1">+IF(tiempos[[#This Row],[Vigencia OR]]=0,(tiempos[[#This Row],[Plazo Verificación técnica de la documentación]]+175),tiempos[[#This Row],[Vigencia OR]])</f>
        <v>46063</v>
      </c>
      <c r="O135" s="104">
        <f ca="1">+tiempos[[#This Row],[Plazo de la conexión (sin prorroga)]]+90</f>
        <v>46153</v>
      </c>
      <c r="P135" s="7"/>
    </row>
    <row r="136" spans="1:16" x14ac:dyDescent="0.25">
      <c r="A136">
        <f>'ESTADO SOLICITUDES'!A136</f>
        <v>130</v>
      </c>
      <c r="B136" t="str">
        <f>'ESTADO SOLICITUDES'!B136</f>
        <v>CES017_Panorama_2</v>
      </c>
      <c r="C136" t="str">
        <f>'ESTADO SOLICITUDES'!T136</f>
        <v>Espera</v>
      </c>
      <c r="D136" s="85">
        <f>'ESTADO SOLICITUDES'!K136</f>
        <v>35139</v>
      </c>
      <c r="E136" s="7">
        <f>'ESTADO SOLICITUDES'!J136</f>
        <v>45720</v>
      </c>
      <c r="F136" s="104">
        <f t="shared" si="15"/>
        <v>45727</v>
      </c>
      <c r="G136" s="104"/>
      <c r="H136" s="104">
        <f>'ESTADO SOLICITUDES'!M136</f>
        <v>0</v>
      </c>
      <c r="I136" s="104">
        <f t="shared" ca="1" si="16"/>
        <v>46016</v>
      </c>
      <c r="J136" s="7">
        <f>+EstadoSolicitudes[[#This Row],[Cargue estudio al OR]]</f>
        <v>0</v>
      </c>
      <c r="K136" s="104">
        <f t="shared" ca="1" si="17"/>
        <v>46030</v>
      </c>
      <c r="M136" s="104">
        <f>+EstadoSolicitudes[[#This Row],[Vigencia]]</f>
        <v>0</v>
      </c>
      <c r="N136" s="104">
        <f ca="1">+IF(tiempos[[#This Row],[Vigencia OR]]=0,(tiempos[[#This Row],[Plazo Verificación técnica de la documentación]]+175),tiempos[[#This Row],[Vigencia OR]])</f>
        <v>46205</v>
      </c>
      <c r="O136" s="104">
        <f ca="1">+tiempos[[#This Row],[Plazo de la conexión (sin prorroga)]]+90</f>
        <v>46295</v>
      </c>
      <c r="P136" s="7"/>
    </row>
    <row r="137" spans="1:16" x14ac:dyDescent="0.25">
      <c r="A137">
        <f>'ESTADO SOLICITUDES'!A137</f>
        <v>131</v>
      </c>
      <c r="B137" t="str">
        <f>'ESTADO SOLICITUDES'!B137</f>
        <v>CES017_Panorama_3</v>
      </c>
      <c r="C137" t="str">
        <f>'ESTADO SOLICITUDES'!T137</f>
        <v>Espera</v>
      </c>
      <c r="D137" s="85">
        <f>'ESTADO SOLICITUDES'!K137</f>
        <v>35140</v>
      </c>
      <c r="E137" s="7">
        <f>'ESTADO SOLICITUDES'!J137</f>
        <v>45720</v>
      </c>
      <c r="F137" s="104">
        <f t="shared" si="15"/>
        <v>45727</v>
      </c>
      <c r="G137" s="104"/>
      <c r="H137" s="104">
        <f>'ESTADO SOLICITUDES'!M137</f>
        <v>0</v>
      </c>
      <c r="I137" s="104">
        <f t="shared" ca="1" si="16"/>
        <v>46016</v>
      </c>
      <c r="J137" s="7">
        <f>+EstadoSolicitudes[[#This Row],[Cargue estudio al OR]]</f>
        <v>0</v>
      </c>
      <c r="K137" s="104">
        <f t="shared" ca="1" si="17"/>
        <v>46030</v>
      </c>
      <c r="M137" s="104">
        <f>+EstadoSolicitudes[[#This Row],[Vigencia]]</f>
        <v>0</v>
      </c>
      <c r="N137" s="104">
        <f ca="1">+IF(tiempos[[#This Row],[Vigencia OR]]=0,(tiempos[[#This Row],[Plazo Verificación técnica de la documentación]]+175),tiempos[[#This Row],[Vigencia OR]])</f>
        <v>46205</v>
      </c>
      <c r="O137" s="104">
        <f ca="1">+tiempos[[#This Row],[Plazo de la conexión (sin prorroga)]]+90</f>
        <v>46295</v>
      </c>
      <c r="P137" s="7"/>
    </row>
    <row r="138" spans="1:16" x14ac:dyDescent="0.25">
      <c r="A138">
        <f>'ESTADO SOLICITUDES'!A138</f>
        <v>132</v>
      </c>
      <c r="B138" t="str">
        <f>'ESTADO SOLICITUDES'!B138</f>
        <v>CAU046_El Carmen_1</v>
      </c>
      <c r="C138" t="str">
        <f>'ESTADO SOLICITUDES'!T138</f>
        <v>Espera</v>
      </c>
      <c r="D138" s="85">
        <f>'ESTADO SOLICITUDES'!K138</f>
        <v>11316719</v>
      </c>
      <c r="E138" s="7">
        <f>'ESTADO SOLICITUDES'!J138</f>
        <v>45720</v>
      </c>
      <c r="F138" s="104">
        <f t="shared" si="15"/>
        <v>45727</v>
      </c>
      <c r="G138" s="104"/>
      <c r="H138" s="104">
        <f>'ESTADO SOLICITUDES'!M138</f>
        <v>0</v>
      </c>
      <c r="I138" s="104">
        <f t="shared" ca="1" si="16"/>
        <v>46016</v>
      </c>
      <c r="J138" s="7">
        <f>+EstadoSolicitudes[[#This Row],[Cargue estudio al OR]]</f>
        <v>0</v>
      </c>
      <c r="K138" s="104">
        <f t="shared" ca="1" si="17"/>
        <v>46030</v>
      </c>
      <c r="M138" s="104">
        <f>+EstadoSolicitudes[[#This Row],[Vigencia]]</f>
        <v>0</v>
      </c>
      <c r="N138" s="104">
        <f ca="1">+IF(tiempos[[#This Row],[Vigencia OR]]=0,(tiempos[[#This Row],[Plazo Verificación técnica de la documentación]]+175),tiempos[[#This Row],[Vigencia OR]])</f>
        <v>46205</v>
      </c>
      <c r="O138" s="104">
        <f ca="1">+tiempos[[#This Row],[Plazo de la conexión (sin prorroga)]]+90</f>
        <v>46295</v>
      </c>
      <c r="P138" s="7"/>
    </row>
    <row r="139" spans="1:16" x14ac:dyDescent="0.25">
      <c r="A139">
        <f>'ESTADO SOLICITUDES'!A139</f>
        <v>133</v>
      </c>
      <c r="B139" t="str">
        <f>'ESTADO SOLICITUDES'!B139</f>
        <v>CAU046_El Carmen_2</v>
      </c>
      <c r="C139" t="str">
        <f>'ESTADO SOLICITUDES'!T139</f>
        <v>Espera</v>
      </c>
      <c r="D139" s="85">
        <f>'ESTADO SOLICITUDES'!K139</f>
        <v>11316810</v>
      </c>
      <c r="E139" s="7">
        <f>'ESTADO SOLICITUDES'!J139</f>
        <v>45720</v>
      </c>
      <c r="F139" s="104">
        <f t="shared" si="15"/>
        <v>45727</v>
      </c>
      <c r="G139" s="104"/>
      <c r="H139" s="104">
        <f>'ESTADO SOLICITUDES'!M139</f>
        <v>45728</v>
      </c>
      <c r="I139" s="104">
        <f t="shared" ca="1" si="16"/>
        <v>45868</v>
      </c>
      <c r="J139" s="7">
        <f>+EstadoSolicitudes[[#This Row],[Cargue estudio al OR]]</f>
        <v>0</v>
      </c>
      <c r="K139" s="104">
        <f t="shared" ca="1" si="17"/>
        <v>45882</v>
      </c>
      <c r="M139" s="104">
        <f>+EstadoSolicitudes[[#This Row],[Vigencia]]</f>
        <v>0</v>
      </c>
      <c r="N139" s="104">
        <f ca="1">+IF(tiempos[[#This Row],[Vigencia OR]]=0,(tiempos[[#This Row],[Plazo Verificación técnica de la documentación]]+175),tiempos[[#This Row],[Vigencia OR]])</f>
        <v>46057</v>
      </c>
      <c r="O139" s="104">
        <f ca="1">+tiempos[[#This Row],[Plazo de la conexión (sin prorroga)]]+90</f>
        <v>46147</v>
      </c>
      <c r="P139" s="7"/>
    </row>
    <row r="140" spans="1:16" x14ac:dyDescent="0.25">
      <c r="A140">
        <f>'ESTADO SOLICITUDES'!A140</f>
        <v>134</v>
      </c>
      <c r="B140" t="str">
        <f>'ESTADO SOLICITUDES'!B140</f>
        <v>CAU046_El Carmen_3</v>
      </c>
      <c r="C140" t="str">
        <f>'ESTADO SOLICITUDES'!T140</f>
        <v>Espera</v>
      </c>
      <c r="D140" s="85">
        <f>'ESTADO SOLICITUDES'!K140</f>
        <v>11316814</v>
      </c>
      <c r="E140" s="7">
        <f>'ESTADO SOLICITUDES'!J140</f>
        <v>45720</v>
      </c>
      <c r="F140" s="104">
        <f t="shared" si="15"/>
        <v>45727</v>
      </c>
      <c r="G140" s="104"/>
      <c r="H140" s="104">
        <f>'ESTADO SOLICITUDES'!M140</f>
        <v>45728</v>
      </c>
      <c r="I140" s="104">
        <f t="shared" ca="1" si="16"/>
        <v>45868</v>
      </c>
      <c r="J140" s="7">
        <f>+EstadoSolicitudes[[#This Row],[Cargue estudio al OR]]</f>
        <v>0</v>
      </c>
      <c r="K140" s="104">
        <f t="shared" ca="1" si="17"/>
        <v>45882</v>
      </c>
      <c r="M140" s="104">
        <f>+EstadoSolicitudes[[#This Row],[Vigencia]]</f>
        <v>0</v>
      </c>
      <c r="N140" s="104">
        <f ca="1">+IF(tiempos[[#This Row],[Vigencia OR]]=0,(tiempos[[#This Row],[Plazo Verificación técnica de la documentación]]+175),tiempos[[#This Row],[Vigencia OR]])</f>
        <v>46057</v>
      </c>
      <c r="O140" s="104">
        <f ca="1">+tiempos[[#This Row],[Plazo de la conexión (sin prorroga)]]+90</f>
        <v>46147</v>
      </c>
      <c r="P140" s="7"/>
    </row>
    <row r="141" spans="1:16" x14ac:dyDescent="0.25">
      <c r="A141">
        <f>'ESTADO SOLICITUDES'!A141</f>
        <v>135</v>
      </c>
      <c r="B141" t="str">
        <f>'ESTADO SOLICITUDES'!B141</f>
        <v>CAU046_El Carmen_4</v>
      </c>
      <c r="C141" t="str">
        <f>'ESTADO SOLICITUDES'!T141</f>
        <v>Espera</v>
      </c>
      <c r="D141" s="85">
        <f>'ESTADO SOLICITUDES'!K141</f>
        <v>11316817</v>
      </c>
      <c r="E141" s="7">
        <f>'ESTADO SOLICITUDES'!J141</f>
        <v>45720</v>
      </c>
      <c r="F141" s="104">
        <f t="shared" si="15"/>
        <v>45727</v>
      </c>
      <c r="G141" s="104"/>
      <c r="H141" s="104">
        <f>'ESTADO SOLICITUDES'!M141</f>
        <v>45728</v>
      </c>
      <c r="I141" s="104">
        <f t="shared" ca="1" si="16"/>
        <v>45868</v>
      </c>
      <c r="J141" s="7">
        <f>+EstadoSolicitudes[[#This Row],[Cargue estudio al OR]]</f>
        <v>0</v>
      </c>
      <c r="K141" s="104">
        <f t="shared" ca="1" si="17"/>
        <v>45882</v>
      </c>
      <c r="M141" s="104">
        <f>+EstadoSolicitudes[[#This Row],[Vigencia]]</f>
        <v>0</v>
      </c>
      <c r="N141" s="104">
        <f ca="1">+IF(tiempos[[#This Row],[Vigencia OR]]=0,(tiempos[[#This Row],[Plazo Verificación técnica de la documentación]]+175),tiempos[[#This Row],[Vigencia OR]])</f>
        <v>46057</v>
      </c>
      <c r="O141" s="104">
        <f ca="1">+tiempos[[#This Row],[Plazo de la conexión (sin prorroga)]]+90</f>
        <v>46147</v>
      </c>
      <c r="P141" s="7"/>
    </row>
    <row r="142" spans="1:16" x14ac:dyDescent="0.25">
      <c r="A142">
        <f>'ESTADO SOLICITUDES'!A142</f>
        <v>136</v>
      </c>
      <c r="B142" t="str">
        <f>'ESTADO SOLICITUDES'!B142</f>
        <v xml:space="preserve"> CES013_LaFrancia 2</v>
      </c>
      <c r="C142" t="str">
        <f>'ESTADO SOLICITUDES'!T142</f>
        <v>Espera</v>
      </c>
      <c r="D142" s="85">
        <f>'ESTADO SOLICITUDES'!K142</f>
        <v>35254</v>
      </c>
      <c r="E142" s="7">
        <f>'ESTADO SOLICITUDES'!J142</f>
        <v>45723</v>
      </c>
      <c r="F142" s="104">
        <f t="shared" si="15"/>
        <v>45730</v>
      </c>
      <c r="G142" s="104"/>
      <c r="H142" s="104">
        <f>'ESTADO SOLICITUDES'!M142</f>
        <v>0</v>
      </c>
      <c r="I142" s="104">
        <f t="shared" ca="1" si="16"/>
        <v>46016</v>
      </c>
      <c r="J142" s="7">
        <f>+EstadoSolicitudes[[#This Row],[Cargue estudio al OR]]</f>
        <v>0</v>
      </c>
      <c r="K142" s="104">
        <f t="shared" ca="1" si="17"/>
        <v>46030</v>
      </c>
      <c r="M142" s="104">
        <f>+EstadoSolicitudes[[#This Row],[Vigencia]]</f>
        <v>0</v>
      </c>
      <c r="N142" s="104">
        <f ca="1">+IF(tiempos[[#This Row],[Vigencia OR]]=0,(tiempos[[#This Row],[Plazo Verificación técnica de la documentación]]+175),tiempos[[#This Row],[Vigencia OR]])</f>
        <v>46205</v>
      </c>
      <c r="O142" s="104">
        <f ca="1">+tiempos[[#This Row],[Plazo de la conexión (sin prorroga)]]+90</f>
        <v>46295</v>
      </c>
      <c r="P142" s="7"/>
    </row>
    <row r="143" spans="1:16" x14ac:dyDescent="0.25">
      <c r="A143">
        <f>'ESTADO SOLICITUDES'!A143</f>
        <v>137</v>
      </c>
      <c r="B143" t="str">
        <f>'ESTADO SOLICITUDES'!B143</f>
        <v xml:space="preserve"> CES013_LaFrancia 3</v>
      </c>
      <c r="C143" t="str">
        <f>'ESTADO SOLICITUDES'!T143</f>
        <v>Espera</v>
      </c>
      <c r="D143" s="85">
        <f>'ESTADO SOLICITUDES'!K143</f>
        <v>35256</v>
      </c>
      <c r="E143" s="7">
        <f>'ESTADO SOLICITUDES'!J143</f>
        <v>45723</v>
      </c>
      <c r="F143" s="104">
        <f t="shared" si="15"/>
        <v>45730</v>
      </c>
      <c r="G143" s="104"/>
      <c r="H143" s="104">
        <f>'ESTADO SOLICITUDES'!M143</f>
        <v>0</v>
      </c>
      <c r="I143" s="104">
        <f t="shared" ca="1" si="16"/>
        <v>46016</v>
      </c>
      <c r="J143" s="7">
        <f>+EstadoSolicitudes[[#This Row],[Cargue estudio al OR]]</f>
        <v>0</v>
      </c>
      <c r="K143" s="104">
        <f t="shared" ca="1" si="17"/>
        <v>46030</v>
      </c>
      <c r="M143" s="104">
        <f>+EstadoSolicitudes[[#This Row],[Vigencia]]</f>
        <v>0</v>
      </c>
      <c r="N143" s="104">
        <f ca="1">+IF(tiempos[[#This Row],[Vigencia OR]]=0,(tiempos[[#This Row],[Plazo Verificación técnica de la documentación]]+175),tiempos[[#This Row],[Vigencia OR]])</f>
        <v>46205</v>
      </c>
      <c r="O143" s="104">
        <f ca="1">+tiempos[[#This Row],[Plazo de la conexión (sin prorroga)]]+90</f>
        <v>46295</v>
      </c>
      <c r="P143" s="7"/>
    </row>
    <row r="144" spans="1:16" x14ac:dyDescent="0.25">
      <c r="A144">
        <f>'ESTADO SOLICITUDES'!A144</f>
        <v>138</v>
      </c>
      <c r="B144" t="str">
        <f>'ESTADO SOLICITUDES'!B144</f>
        <v xml:space="preserve"> CES013_LaFrancia 4</v>
      </c>
      <c r="C144" t="str">
        <f>'ESTADO SOLICITUDES'!T144</f>
        <v>Espera</v>
      </c>
      <c r="D144" s="85">
        <f>'ESTADO SOLICITUDES'!K144</f>
        <v>35257</v>
      </c>
      <c r="E144" s="7">
        <f>'ESTADO SOLICITUDES'!J144</f>
        <v>45723</v>
      </c>
      <c r="F144" s="104">
        <f t="shared" si="15"/>
        <v>45730</v>
      </c>
      <c r="G144" s="104"/>
      <c r="H144" s="104">
        <f>'ESTADO SOLICITUDES'!M144</f>
        <v>0</v>
      </c>
      <c r="I144" s="104">
        <f t="shared" ca="1" si="16"/>
        <v>46016</v>
      </c>
      <c r="J144" s="7">
        <f>+EstadoSolicitudes[[#This Row],[Cargue estudio al OR]]</f>
        <v>0</v>
      </c>
      <c r="K144" s="104">
        <f t="shared" ca="1" si="17"/>
        <v>46030</v>
      </c>
      <c r="M144" s="104">
        <f>+EstadoSolicitudes[[#This Row],[Vigencia]]</f>
        <v>0</v>
      </c>
      <c r="N144" s="104">
        <f ca="1">+IF(tiempos[[#This Row],[Vigencia OR]]=0,(tiempos[[#This Row],[Plazo Verificación técnica de la documentación]]+175),tiempos[[#This Row],[Vigencia OR]])</f>
        <v>46205</v>
      </c>
      <c r="O144" s="104">
        <f ca="1">+tiempos[[#This Row],[Plazo de la conexión (sin prorroga)]]+90</f>
        <v>46295</v>
      </c>
      <c r="P144" s="7"/>
    </row>
    <row r="145" spans="1:16" x14ac:dyDescent="0.25">
      <c r="A145">
        <f>'ESTADO SOLICITUDES'!A145</f>
        <v>139</v>
      </c>
      <c r="B145" t="str">
        <f>'ESTADO SOLICITUDES'!B145</f>
        <v>CES019_Las Mercedes 1</v>
      </c>
      <c r="C145" t="str">
        <f>'ESTADO SOLICITUDES'!T145</f>
        <v>Espera</v>
      </c>
      <c r="D145" s="85">
        <f>'ESTADO SOLICITUDES'!K145</f>
        <v>35437</v>
      </c>
      <c r="E145" s="7">
        <f>'ESTADO SOLICITUDES'!J145</f>
        <v>45728</v>
      </c>
      <c r="F145" s="104">
        <f t="shared" ref="F145" si="18">WORKDAY(E145,5)</f>
        <v>45735</v>
      </c>
      <c r="G145" s="104"/>
      <c r="H145" s="104">
        <f>'ESTADO SOLICITUDES'!M145</f>
        <v>0</v>
      </c>
      <c r="I145" s="104">
        <f t="shared" ref="I145" ca="1" si="19">IF(H145=0, TODAY() + 140, H145 + 140)</f>
        <v>46016</v>
      </c>
      <c r="J145" s="7">
        <f>+EstadoSolicitudes[[#This Row],[Cargue estudio al OR]]</f>
        <v>0</v>
      </c>
      <c r="K145" s="104">
        <f t="shared" ref="K145" ca="1" si="20">WORKDAY(IF(J145=0, I145, J145), 10)</f>
        <v>46030</v>
      </c>
      <c r="M145" s="104">
        <f>+EstadoSolicitudes[[#This Row],[Vigencia]]</f>
        <v>0</v>
      </c>
      <c r="N145" s="104">
        <f ca="1">+IF(tiempos[[#This Row],[Vigencia OR]]=0,(tiempos[[#This Row],[Plazo Verificación técnica de la documentación]]+175),tiempos[[#This Row],[Vigencia OR]])</f>
        <v>46205</v>
      </c>
      <c r="O145" s="104">
        <f ca="1">+tiempos[[#This Row],[Plazo de la conexión (sin prorroga)]]+90</f>
        <v>46295</v>
      </c>
      <c r="P145" s="7"/>
    </row>
  </sheetData>
  <sheetProtection sheet="1" objects="1" scenarios="1"/>
  <mergeCells count="3">
    <mergeCell ref="K4:M4"/>
    <mergeCell ref="O4:R4"/>
    <mergeCell ref="S4:U4"/>
  </mergeCells>
  <pageMargins left="0.7" right="0.7" top="0.75" bottom="0.75" header="0.3" footer="0.3"/>
  <pageSetup orientation="portrait" horizontalDpi="4294967293" r:id="rId1"/>
  <drawing r:id="rId2"/>
  <legacyDrawing r:id="rId3"/>
  <tableParts count="1">
    <tablePart r:id="rId4"/>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CFB2F8-0E14-4206-99AB-3D3323D3D21E}">
  <sheetPr codeName="Hoja15"/>
  <dimension ref="B1:AB23"/>
  <sheetViews>
    <sheetView topLeftCell="F7" zoomScaleNormal="100" workbookViewId="0">
      <selection activeCell="F7" sqref="F7"/>
    </sheetView>
  </sheetViews>
  <sheetFormatPr baseColWidth="10" defaultColWidth="11.42578125" defaultRowHeight="15" x14ac:dyDescent="0.25"/>
  <cols>
    <col min="2" max="2" width="16.7109375" customWidth="1"/>
    <col min="3" max="3" width="25.85546875" bestFit="1" customWidth="1"/>
    <col min="5" max="5" width="8.85546875" bestFit="1" customWidth="1"/>
    <col min="6" max="6" width="15.7109375" bestFit="1" customWidth="1"/>
    <col min="7" max="7" width="9.5703125" bestFit="1" customWidth="1"/>
    <col min="8" max="9" width="8.85546875" bestFit="1" customWidth="1"/>
    <col min="10" max="10" width="8.7109375" customWidth="1"/>
    <col min="11" max="11" width="8.85546875" bestFit="1" customWidth="1"/>
    <col min="12" max="12" width="13.5703125" bestFit="1" customWidth="1"/>
    <col min="13" max="13" width="8.85546875" bestFit="1" customWidth="1"/>
    <col min="14" max="15" width="8" bestFit="1" customWidth="1"/>
    <col min="16" max="16" width="8.42578125" bestFit="1" customWidth="1"/>
    <col min="17" max="17" width="8.5703125" bestFit="1" customWidth="1"/>
    <col min="18" max="21" width="8.85546875" bestFit="1" customWidth="1"/>
    <col min="22" max="22" width="2.85546875" customWidth="1"/>
    <col min="23" max="23" width="4.7109375" customWidth="1"/>
    <col min="24" max="24" width="27.5703125" customWidth="1"/>
    <col min="25" max="25" width="18.28515625" customWidth="1"/>
    <col min="26" max="26" width="16.5703125" bestFit="1" customWidth="1"/>
    <col min="27" max="27" width="9.5703125" customWidth="1"/>
    <col min="28" max="28" width="43.7109375" customWidth="1"/>
    <col min="29" max="38" width="4.7109375" customWidth="1"/>
  </cols>
  <sheetData>
    <row r="1" spans="2:28" ht="15.75" thickBot="1" x14ac:dyDescent="0.3">
      <c r="B1" s="86" t="s">
        <v>1</v>
      </c>
      <c r="C1" s="87" t="s">
        <v>239</v>
      </c>
    </row>
    <row r="2" spans="2:28" x14ac:dyDescent="0.25">
      <c r="B2" t="s">
        <v>7</v>
      </c>
      <c r="C2" t="str">
        <f>+_xlfn.XLOOKUP(C1,EstadoSolicitudes[Proyecto],EstadoSolicitudes[Etapa])</f>
        <v>Estudio de conexión</v>
      </c>
      <c r="E2" s="293" t="s">
        <v>1260</v>
      </c>
      <c r="F2" s="295"/>
      <c r="G2" s="293" t="s">
        <v>146</v>
      </c>
      <c r="H2" s="294"/>
      <c r="I2" s="294"/>
      <c r="J2" s="294"/>
      <c r="K2" s="295"/>
      <c r="L2" s="123" t="s">
        <v>1261</v>
      </c>
      <c r="M2" s="293" t="s">
        <v>1262</v>
      </c>
      <c r="N2" s="294"/>
      <c r="O2" s="294"/>
      <c r="P2" s="294"/>
      <c r="Q2" s="294"/>
      <c r="R2" s="294"/>
      <c r="S2" s="294"/>
      <c r="T2" s="294"/>
      <c r="U2" s="295"/>
    </row>
    <row r="3" spans="2:28" x14ac:dyDescent="0.25">
      <c r="B3" t="s">
        <v>1260</v>
      </c>
      <c r="C3" t="str">
        <f>+IF(_xlfn.XLOOKUP(C1,tiempos[Proyecto],tiempos[Fecha insumos recibidos])=0,"NO","Si")</f>
        <v>Si</v>
      </c>
      <c r="E3" s="116" t="s">
        <v>1263</v>
      </c>
      <c r="F3" s="117" t="s">
        <v>1264</v>
      </c>
      <c r="G3" s="116" t="s">
        <v>1265</v>
      </c>
      <c r="H3" s="23" t="s">
        <v>1266</v>
      </c>
      <c r="I3" s="23" t="s">
        <v>1267</v>
      </c>
      <c r="J3" s="23" t="s">
        <v>1268</v>
      </c>
      <c r="K3" s="117" t="s">
        <v>1269</v>
      </c>
      <c r="L3" s="124" t="s">
        <v>1270</v>
      </c>
      <c r="M3" s="116" t="s">
        <v>1271</v>
      </c>
      <c r="N3" s="23" t="s">
        <v>1272</v>
      </c>
      <c r="O3" s="23" t="s">
        <v>1273</v>
      </c>
      <c r="P3" s="23" t="s">
        <v>1274</v>
      </c>
      <c r="Q3" s="23" t="s">
        <v>1269</v>
      </c>
      <c r="R3" s="23" t="s">
        <v>1275</v>
      </c>
      <c r="S3" s="23" t="s">
        <v>1276</v>
      </c>
      <c r="T3" s="23" t="s">
        <v>1277</v>
      </c>
      <c r="U3" s="117" t="s">
        <v>1278</v>
      </c>
    </row>
    <row r="4" spans="2:28" x14ac:dyDescent="0.25">
      <c r="B4" t="s">
        <v>1247</v>
      </c>
      <c r="C4">
        <f>+_xlfn.XLOOKUP(C1,EstadoSolicitudes[Proyecto],EstadoSolicitudes[Código solicitud])</f>
        <v>2541</v>
      </c>
      <c r="E4" s="116"/>
      <c r="F4" s="117"/>
      <c r="G4" s="116"/>
      <c r="H4" s="23"/>
      <c r="I4" s="23"/>
      <c r="J4" s="23"/>
      <c r="K4" s="117"/>
      <c r="L4" s="124"/>
      <c r="M4" s="116"/>
      <c r="N4" s="23"/>
      <c r="O4" s="23"/>
      <c r="P4" s="23"/>
      <c r="Q4" s="23"/>
      <c r="R4" s="23"/>
      <c r="S4" s="23"/>
      <c r="T4" s="23"/>
      <c r="U4" s="117"/>
    </row>
    <row r="5" spans="2:28" ht="48" customHeight="1" x14ac:dyDescent="0.25">
      <c r="B5" s="82" t="s">
        <v>1279</v>
      </c>
      <c r="C5" s="82" t="s">
        <v>1280</v>
      </c>
      <c r="D5" s="113" t="s">
        <v>1281</v>
      </c>
      <c r="E5" s="118">
        <f>C6</f>
        <v>45531</v>
      </c>
      <c r="F5" s="119">
        <f>C7</f>
        <v>45538</v>
      </c>
      <c r="G5" s="118">
        <f>DATE(YEAR(F5),MONTH(F5)+1,DAY(F5))</f>
        <v>45568</v>
      </c>
      <c r="H5" s="115">
        <f>DATE(YEAR(G5),MONTH(G5)+1,DAY(G5))</f>
        <v>45599</v>
      </c>
      <c r="I5" s="115">
        <f>DATE(YEAR(H5),MONTH(H5)+1,DAY(H5))</f>
        <v>45629</v>
      </c>
      <c r="J5" s="115">
        <f>DATE(YEAR(I5),MONTH(I5)+1,DAY(I5))</f>
        <v>45660</v>
      </c>
      <c r="K5" s="119">
        <f ca="1">D7</f>
        <v>45698</v>
      </c>
      <c r="L5" s="125">
        <f ca="1">D8</f>
        <v>45712</v>
      </c>
      <c r="M5" s="118">
        <f ca="1">DATE(YEAR(L5),MONTH(L5)+1,DAY(L5))</f>
        <v>45740</v>
      </c>
      <c r="N5" s="115">
        <f t="shared" ref="N5:U5" ca="1" si="0">DATE(YEAR(M5),MONTH(M5)+1,DAY(M5))</f>
        <v>45771</v>
      </c>
      <c r="O5" s="115">
        <f t="shared" ca="1" si="0"/>
        <v>45801</v>
      </c>
      <c r="P5" s="115">
        <f t="shared" ca="1" si="0"/>
        <v>45832</v>
      </c>
      <c r="Q5" s="115">
        <f t="shared" ca="1" si="0"/>
        <v>45862</v>
      </c>
      <c r="R5" s="115">
        <f>D9</f>
        <v>270</v>
      </c>
      <c r="S5" s="115">
        <f t="shared" si="0"/>
        <v>300</v>
      </c>
      <c r="T5" s="115">
        <f t="shared" si="0"/>
        <v>331</v>
      </c>
      <c r="U5" s="119">
        <f t="shared" si="0"/>
        <v>361</v>
      </c>
      <c r="X5" t="s">
        <v>1096</v>
      </c>
    </row>
    <row r="6" spans="2:28" ht="24.95" customHeight="1" x14ac:dyDescent="0.25">
      <c r="B6" s="84" t="s">
        <v>1282</v>
      </c>
      <c r="C6" s="83">
        <f>+_xlfn.XLOOKUP(C1,tiempos[Proyecto],tiempos[Fecha Inicio solicitud de conexion])</f>
        <v>45531</v>
      </c>
      <c r="D6" s="114">
        <f>+_xlfn.XLOOKUP(C1,tiempos[Proyecto],tiempos[Plazo entrega insumos])</f>
        <v>45538</v>
      </c>
      <c r="E6" s="116"/>
      <c r="F6" s="117"/>
      <c r="G6" s="116"/>
      <c r="H6" s="23"/>
      <c r="I6" s="23"/>
      <c r="J6" s="23"/>
      <c r="K6" s="117"/>
      <c r="L6" s="124"/>
      <c r="M6" s="116"/>
      <c r="N6" s="23"/>
      <c r="O6" s="23"/>
      <c r="P6" s="23"/>
      <c r="Q6" s="23"/>
      <c r="R6" s="23"/>
      <c r="S6" s="23"/>
      <c r="T6" s="23"/>
      <c r="U6" s="117"/>
      <c r="X6" s="292" t="s">
        <v>1283</v>
      </c>
      <c r="Y6" s="292"/>
      <c r="Z6" s="292"/>
      <c r="AA6" s="292"/>
      <c r="AB6" s="292"/>
    </row>
    <row r="7" spans="2:28" ht="33.75" x14ac:dyDescent="0.25">
      <c r="B7" s="84" t="s">
        <v>1252</v>
      </c>
      <c r="C7" s="83">
        <f>D6</f>
        <v>45538</v>
      </c>
      <c r="D7" s="114">
        <f ca="1">+_xlfn.XLOOKUP(C1,tiempos[Proyecto],tiempos[[Plazo Estudio de conexion simplificado ]],0,0)</f>
        <v>45698</v>
      </c>
      <c r="E7" s="116"/>
      <c r="F7" s="117"/>
      <c r="G7" s="116"/>
      <c r="H7" s="23"/>
      <c r="I7" s="23"/>
      <c r="J7" s="23"/>
      <c r="K7" s="117"/>
      <c r="L7" s="124"/>
      <c r="M7" s="116"/>
      <c r="N7" s="23"/>
      <c r="O7" s="23"/>
      <c r="P7" s="23"/>
      <c r="Q7" s="23"/>
      <c r="R7" s="23"/>
      <c r="S7" s="23"/>
      <c r="T7" s="23"/>
      <c r="U7" s="117"/>
      <c r="X7" s="292"/>
      <c r="Y7" s="292"/>
      <c r="Z7" s="292"/>
      <c r="AA7" s="292"/>
      <c r="AB7" s="292"/>
    </row>
    <row r="8" spans="2:28" ht="33.75" x14ac:dyDescent="0.25">
      <c r="B8" s="84" t="s">
        <v>1254</v>
      </c>
      <c r="C8" s="83">
        <f ca="1">D7</f>
        <v>45698</v>
      </c>
      <c r="D8" s="114">
        <f ca="1">+_xlfn.XLOOKUP(C1,tiempos[Proyecto],tiempos[Plazo Verificación técnica de la documentación],0,0)</f>
        <v>45712</v>
      </c>
      <c r="E8" s="116"/>
      <c r="F8" s="117"/>
      <c r="G8" s="116"/>
      <c r="H8" s="23"/>
      <c r="I8" s="23"/>
      <c r="J8" s="23"/>
      <c r="K8" s="117"/>
      <c r="L8" s="124"/>
      <c r="M8" s="116"/>
      <c r="N8" s="23"/>
      <c r="O8" s="23"/>
      <c r="P8" s="23"/>
      <c r="Q8" s="23"/>
      <c r="R8" s="23"/>
      <c r="S8" s="23"/>
      <c r="T8" s="23"/>
      <c r="U8" s="117"/>
      <c r="X8" s="79" t="s">
        <v>1284</v>
      </c>
      <c r="Y8" s="79" t="s">
        <v>1285</v>
      </c>
      <c r="Z8" s="79" t="s">
        <v>1286</v>
      </c>
      <c r="AA8" s="79" t="s">
        <v>1287</v>
      </c>
      <c r="AB8" s="79" t="s">
        <v>1288</v>
      </c>
    </row>
    <row r="9" spans="2:28" ht="30.75" thickBot="1" x14ac:dyDescent="0.3">
      <c r="B9" s="84" t="s">
        <v>1257</v>
      </c>
      <c r="C9" s="83">
        <f ca="1">D8</f>
        <v>45712</v>
      </c>
      <c r="D9" s="114">
        <f>VLOOKUP(C1,TIEMPOS!$B$7:$O$157, 13, FALSE)</f>
        <v>270</v>
      </c>
      <c r="E9" s="120"/>
      <c r="F9" s="121"/>
      <c r="G9" s="120"/>
      <c r="H9" s="122"/>
      <c r="I9" s="122"/>
      <c r="J9" s="122"/>
      <c r="K9" s="121"/>
      <c r="L9" s="126"/>
      <c r="M9" s="120"/>
      <c r="N9" s="122"/>
      <c r="O9" s="122"/>
      <c r="P9" s="122"/>
      <c r="Q9" s="122"/>
      <c r="R9" s="122"/>
      <c r="S9" s="127"/>
      <c r="T9" s="127"/>
      <c r="U9" s="128"/>
      <c r="X9" s="80" t="s">
        <v>1289</v>
      </c>
      <c r="Y9" s="80" t="s">
        <v>1290</v>
      </c>
      <c r="Z9" s="80" t="s">
        <v>1291</v>
      </c>
      <c r="AA9" s="80">
        <v>66</v>
      </c>
      <c r="AB9" s="80" t="s">
        <v>1292</v>
      </c>
    </row>
    <row r="10" spans="2:28" ht="30" x14ac:dyDescent="0.25">
      <c r="X10" s="80" t="s">
        <v>1293</v>
      </c>
      <c r="Y10" s="80" t="s">
        <v>1294</v>
      </c>
      <c r="Z10" s="80" t="s">
        <v>1295</v>
      </c>
      <c r="AA10" s="80">
        <v>64</v>
      </c>
      <c r="AB10" s="80" t="s">
        <v>1296</v>
      </c>
    </row>
    <row r="11" spans="2:28" ht="30" x14ac:dyDescent="0.25">
      <c r="F11" s="296"/>
      <c r="G11" s="296"/>
      <c r="H11" s="296"/>
      <c r="I11" s="296"/>
      <c r="J11" s="296"/>
      <c r="K11" s="296"/>
      <c r="M11" s="296"/>
      <c r="N11" s="296"/>
      <c r="O11" s="296"/>
      <c r="P11" s="296"/>
      <c r="Q11" s="296"/>
      <c r="R11" s="296"/>
      <c r="S11" s="296"/>
      <c r="T11" s="296"/>
      <c r="U11" s="296"/>
      <c r="X11" s="80" t="s">
        <v>1297</v>
      </c>
      <c r="Y11" s="80" t="s">
        <v>1298</v>
      </c>
      <c r="Z11" s="80" t="s">
        <v>1299</v>
      </c>
      <c r="AA11" s="80">
        <v>64</v>
      </c>
      <c r="AB11" s="80" t="s">
        <v>1300</v>
      </c>
    </row>
    <row r="12" spans="2:28" ht="30" x14ac:dyDescent="0.25">
      <c r="X12" s="80" t="s">
        <v>1301</v>
      </c>
      <c r="Y12" s="80" t="s">
        <v>1302</v>
      </c>
      <c r="Z12" s="80" t="s">
        <v>1303</v>
      </c>
      <c r="AA12" s="80">
        <v>57</v>
      </c>
      <c r="AB12" s="80" t="s">
        <v>1304</v>
      </c>
    </row>
    <row r="13" spans="2:28" ht="30" x14ac:dyDescent="0.25">
      <c r="X13" s="80" t="s">
        <v>1305</v>
      </c>
      <c r="Y13" s="80" t="s">
        <v>1294</v>
      </c>
      <c r="Z13" s="80" t="s">
        <v>1295</v>
      </c>
      <c r="AA13" s="80">
        <v>64</v>
      </c>
      <c r="AB13" s="80" t="s">
        <v>1306</v>
      </c>
    </row>
    <row r="14" spans="2:28" ht="75" x14ac:dyDescent="0.25">
      <c r="X14" s="81" t="s">
        <v>1307</v>
      </c>
      <c r="Y14" s="80"/>
      <c r="Z14" s="80" t="s">
        <v>1308</v>
      </c>
      <c r="AA14" s="80">
        <v>21</v>
      </c>
      <c r="AB14" s="80" t="s">
        <v>1309</v>
      </c>
    </row>
    <row r="15" spans="2:28" ht="30" x14ac:dyDescent="0.25">
      <c r="X15" s="80" t="s">
        <v>1310</v>
      </c>
      <c r="Y15" s="80" t="s">
        <v>1311</v>
      </c>
      <c r="Z15" s="80" t="s">
        <v>1291</v>
      </c>
      <c r="AA15" s="80">
        <v>66</v>
      </c>
      <c r="AB15" s="80" t="s">
        <v>1312</v>
      </c>
    </row>
    <row r="18" spans="13:21" ht="30" customHeight="1" x14ac:dyDescent="0.25"/>
    <row r="19" spans="13:21" ht="30" customHeight="1" x14ac:dyDescent="0.25">
      <c r="M19" s="296"/>
      <c r="N19" s="296"/>
      <c r="O19" s="296"/>
      <c r="P19" s="296"/>
      <c r="Q19" s="296"/>
      <c r="R19" s="296"/>
      <c r="S19" s="296"/>
      <c r="T19" s="296"/>
      <c r="U19" s="296"/>
    </row>
    <row r="20" spans="13:21" ht="30" customHeight="1" x14ac:dyDescent="0.25"/>
    <row r="21" spans="13:21" ht="67.900000000000006" customHeight="1" x14ac:dyDescent="0.25"/>
    <row r="22" spans="13:21" ht="30" customHeight="1" x14ac:dyDescent="0.25"/>
    <row r="23" spans="13:21" ht="30" customHeight="1" x14ac:dyDescent="0.25"/>
  </sheetData>
  <mergeCells count="7">
    <mergeCell ref="X6:AB7"/>
    <mergeCell ref="M2:U2"/>
    <mergeCell ref="M19:U19"/>
    <mergeCell ref="M11:U11"/>
    <mergeCell ref="F11:K11"/>
    <mergeCell ref="E2:F2"/>
    <mergeCell ref="G2:K2"/>
  </mergeCells>
  <conditionalFormatting sqref="D6">
    <cfRule type="cellIs" dxfId="4" priority="2" operator="equal">
      <formula>0/1/1900</formula>
    </cfRule>
  </conditionalFormatting>
  <conditionalFormatting sqref="E5">
    <cfRule type="cellIs" dxfId="3" priority="1" operator="equal">
      <formula>0/1/1900</formula>
    </cfRule>
  </conditionalFormatting>
  <conditionalFormatting sqref="E14:E17 L14:U17 L22:U25">
    <cfRule type="expression" dxfId="2" priority="4">
      <formula>AND(E$5&gt;= $C14,E$5 &lt;=$D14)</formula>
    </cfRule>
  </conditionalFormatting>
  <conditionalFormatting sqref="E22:E25">
    <cfRule type="expression" dxfId="1" priority="3">
      <formula>AND(E$5&gt;= $C22,E$5 &lt;=$D22)</formula>
    </cfRule>
  </conditionalFormatting>
  <conditionalFormatting sqref="E6:U9">
    <cfRule type="expression" dxfId="0" priority="10">
      <formula>AND(E$5&gt;= $C6,E$5 &lt;=$D6)</formula>
    </cfRule>
  </conditionalFormatting>
  <pageMargins left="0.7" right="0.7" top="0.75" bottom="0.75" header="0.3" footer="0.3"/>
  <pageSetup orientation="portrait" horizontalDpi="4294967293" r:id="rId1"/>
  <extLst>
    <ext xmlns:x14="http://schemas.microsoft.com/office/spreadsheetml/2009/9/main" uri="{CCE6A557-97BC-4b89-ADB6-D9C93CAAB3DF}">
      <x14:dataValidations xmlns:xm="http://schemas.microsoft.com/office/excel/2006/main" count="2">
        <x14:dataValidation type="list" allowBlank="1" showInputMessage="1" showErrorMessage="1" xr:uid="{ABFDCCB2-EB0A-43D0-8E1E-C5FA795A326E}">
          <x14:formula1>
            <xm:f>'ESTADO SOLICITUDES'!$B$6:$B$67</xm:f>
          </x14:formula1>
          <xm:sqref>C1</xm:sqref>
        </x14:dataValidation>
        <x14:dataValidation type="list" allowBlank="1" showInputMessage="1" showErrorMessage="1" xr:uid="{EBBBE553-9BC9-4647-BD8D-B87DBB72C230}">
          <x14:formula1>
            <xm:f>TIEMPOS!$B:$B</xm:f>
          </x14:formula1>
          <xm:sqref>C19 C11</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FF69EF-6AEA-47A3-84E3-071CA5280B69}">
  <sheetPr codeName="Hoja16"/>
  <dimension ref="B2:F39"/>
  <sheetViews>
    <sheetView topLeftCell="A24" zoomScaleNormal="100" workbookViewId="0">
      <selection activeCell="D12" sqref="D12"/>
    </sheetView>
  </sheetViews>
  <sheetFormatPr baseColWidth="10" defaultColWidth="9.140625" defaultRowHeight="15" x14ac:dyDescent="0.25"/>
  <cols>
    <col min="2" max="2" width="17" customWidth="1"/>
    <col min="3" max="3" width="15.42578125" bestFit="1" customWidth="1"/>
    <col min="4" max="4" width="22.28515625" bestFit="1" customWidth="1"/>
    <col min="5" max="6" width="16.42578125" bestFit="1" customWidth="1"/>
  </cols>
  <sheetData>
    <row r="2" spans="2:6" x14ac:dyDescent="0.25">
      <c r="B2" s="67" t="s">
        <v>1313</v>
      </c>
    </row>
    <row r="3" spans="2:6" x14ac:dyDescent="0.25">
      <c r="B3" s="67" t="s">
        <v>1314</v>
      </c>
    </row>
    <row r="4" spans="2:6" x14ac:dyDescent="0.25">
      <c r="B4" s="68" t="s">
        <v>1315</v>
      </c>
    </row>
    <row r="6" spans="2:6" x14ac:dyDescent="0.25">
      <c r="B6" s="69" t="s">
        <v>184</v>
      </c>
      <c r="C6" s="69" t="s">
        <v>1316</v>
      </c>
      <c r="D6" s="69" t="s">
        <v>1</v>
      </c>
      <c r="E6" s="69" t="s">
        <v>927</v>
      </c>
      <c r="F6" s="69" t="s">
        <v>1133</v>
      </c>
    </row>
    <row r="7" spans="2:6" x14ac:dyDescent="0.25">
      <c r="B7" s="23">
        <v>1</v>
      </c>
      <c r="C7" s="70">
        <v>4800000</v>
      </c>
      <c r="D7" s="23" t="s">
        <v>252</v>
      </c>
      <c r="E7" s="24">
        <v>45569</v>
      </c>
      <c r="F7" s="139">
        <v>117</v>
      </c>
    </row>
    <row r="8" spans="2:6" x14ac:dyDescent="0.25">
      <c r="B8" s="23">
        <v>2</v>
      </c>
      <c r="C8" s="70">
        <v>4800000</v>
      </c>
      <c r="D8" s="23" t="s">
        <v>239</v>
      </c>
      <c r="E8" s="24">
        <v>45569</v>
      </c>
      <c r="F8" s="139">
        <v>118</v>
      </c>
    </row>
    <row r="9" spans="2:6" x14ac:dyDescent="0.25">
      <c r="B9" s="23">
        <v>3</v>
      </c>
      <c r="C9" s="70">
        <v>4800000</v>
      </c>
      <c r="D9" s="23" t="s">
        <v>1317</v>
      </c>
      <c r="E9" s="24">
        <v>45569</v>
      </c>
      <c r="F9" s="139">
        <v>119</v>
      </c>
    </row>
    <row r="10" spans="2:6" x14ac:dyDescent="0.25">
      <c r="B10" s="23">
        <v>4</v>
      </c>
      <c r="C10" s="70">
        <v>4500000</v>
      </c>
      <c r="D10" s="23" t="s">
        <v>1318</v>
      </c>
      <c r="E10" s="24">
        <v>45569</v>
      </c>
      <c r="F10" s="139">
        <v>120</v>
      </c>
    </row>
    <row r="11" spans="2:6" x14ac:dyDescent="0.25">
      <c r="B11" s="23">
        <v>5</v>
      </c>
      <c r="C11" s="70">
        <v>4500000</v>
      </c>
      <c r="D11" s="23" t="s">
        <v>1319</v>
      </c>
      <c r="E11" s="24">
        <v>45583</v>
      </c>
      <c r="F11" s="139">
        <v>125</v>
      </c>
    </row>
    <row r="12" spans="2:6" ht="15.75" x14ac:dyDescent="0.25">
      <c r="B12" s="23">
        <v>6</v>
      </c>
      <c r="C12" s="70">
        <v>4500000</v>
      </c>
      <c r="D12" s="71" t="s">
        <v>1320</v>
      </c>
      <c r="E12" s="24">
        <v>45594</v>
      </c>
      <c r="F12" s="23">
        <v>131</v>
      </c>
    </row>
    <row r="13" spans="2:6" x14ac:dyDescent="0.25">
      <c r="B13" s="23">
        <v>7</v>
      </c>
      <c r="C13" s="70">
        <v>4500000</v>
      </c>
      <c r="D13" s="23" t="s">
        <v>1321</v>
      </c>
      <c r="E13" s="24">
        <v>45596</v>
      </c>
      <c r="F13" s="23">
        <v>133</v>
      </c>
    </row>
    <row r="14" spans="2:6" x14ac:dyDescent="0.25">
      <c r="B14" s="23">
        <v>8</v>
      </c>
      <c r="C14" s="70">
        <v>4500000</v>
      </c>
      <c r="D14" s="23" t="s">
        <v>248</v>
      </c>
      <c r="E14" s="24">
        <v>45596</v>
      </c>
      <c r="F14" s="139">
        <v>134</v>
      </c>
    </row>
    <row r="15" spans="2:6" x14ac:dyDescent="0.25">
      <c r="B15" s="23">
        <v>9</v>
      </c>
      <c r="C15" s="70">
        <v>4300000</v>
      </c>
      <c r="D15" s="23" t="s">
        <v>274</v>
      </c>
      <c r="E15" s="24">
        <v>45603</v>
      </c>
      <c r="F15" s="23">
        <v>136</v>
      </c>
    </row>
    <row r="16" spans="2:6" x14ac:dyDescent="0.25">
      <c r="B16" s="23">
        <v>10</v>
      </c>
      <c r="C16" s="70">
        <v>4300000</v>
      </c>
      <c r="D16" s="23" t="s">
        <v>270</v>
      </c>
      <c r="E16" s="24">
        <v>45603</v>
      </c>
      <c r="F16" s="23">
        <v>137</v>
      </c>
    </row>
    <row r="17" spans="2:6" x14ac:dyDescent="0.25">
      <c r="B17" s="23">
        <v>11</v>
      </c>
      <c r="C17" s="70">
        <v>4300000</v>
      </c>
      <c r="D17" s="23" t="s">
        <v>265</v>
      </c>
      <c r="E17" s="24">
        <v>45609</v>
      </c>
      <c r="F17" s="23">
        <v>138</v>
      </c>
    </row>
    <row r="18" spans="2:6" ht="15.75" x14ac:dyDescent="0.25">
      <c r="B18" s="23">
        <v>12</v>
      </c>
      <c r="C18" s="70">
        <v>4300000</v>
      </c>
      <c r="D18" s="71" t="s">
        <v>1322</v>
      </c>
      <c r="E18" s="24">
        <v>45617</v>
      </c>
      <c r="F18" s="23">
        <v>147</v>
      </c>
    </row>
    <row r="19" spans="2:6" x14ac:dyDescent="0.25">
      <c r="B19" s="23">
        <v>13</v>
      </c>
      <c r="C19" s="70">
        <v>4300000</v>
      </c>
      <c r="D19" s="23" t="s">
        <v>1323</v>
      </c>
      <c r="E19" s="24">
        <v>45617</v>
      </c>
      <c r="F19" s="23">
        <v>148</v>
      </c>
    </row>
    <row r="20" spans="2:6" x14ac:dyDescent="0.25">
      <c r="B20" s="23">
        <v>14</v>
      </c>
      <c r="C20" s="70">
        <v>4300000</v>
      </c>
      <c r="D20" s="23" t="s">
        <v>302</v>
      </c>
      <c r="E20" s="24">
        <v>45631</v>
      </c>
      <c r="F20" s="23">
        <v>157</v>
      </c>
    </row>
    <row r="21" spans="2:6" x14ac:dyDescent="0.25">
      <c r="B21" s="23">
        <v>15</v>
      </c>
      <c r="C21" s="70">
        <v>4300000</v>
      </c>
      <c r="D21" s="23" t="s">
        <v>1324</v>
      </c>
      <c r="E21" s="24">
        <v>45642</v>
      </c>
      <c r="F21" s="23">
        <v>164</v>
      </c>
    </row>
    <row r="22" spans="2:6" x14ac:dyDescent="0.25">
      <c r="B22" s="23">
        <v>16</v>
      </c>
      <c r="C22" s="70">
        <v>4300000</v>
      </c>
      <c r="D22" s="23" t="s">
        <v>1325</v>
      </c>
      <c r="E22" s="24">
        <v>45642</v>
      </c>
      <c r="F22" s="23">
        <v>165</v>
      </c>
    </row>
    <row r="23" spans="2:6" x14ac:dyDescent="0.25">
      <c r="B23" s="23">
        <v>17</v>
      </c>
      <c r="C23" s="70">
        <v>4300000</v>
      </c>
      <c r="D23" s="23" t="s">
        <v>1326</v>
      </c>
      <c r="E23" s="24">
        <v>45642</v>
      </c>
      <c r="F23" s="23">
        <v>169</v>
      </c>
    </row>
    <row r="24" spans="2:6" x14ac:dyDescent="0.25">
      <c r="B24" s="23">
        <v>18</v>
      </c>
      <c r="C24" s="70">
        <v>4300000</v>
      </c>
      <c r="D24" s="23" t="s">
        <v>1327</v>
      </c>
      <c r="E24" s="24">
        <v>45642</v>
      </c>
      <c r="F24" s="23">
        <v>166</v>
      </c>
    </row>
    <row r="25" spans="2:6" x14ac:dyDescent="0.25">
      <c r="B25" s="23">
        <v>19</v>
      </c>
      <c r="C25" s="70">
        <v>4300000</v>
      </c>
      <c r="D25" s="23" t="s">
        <v>1328</v>
      </c>
      <c r="E25" s="24">
        <v>45642</v>
      </c>
      <c r="F25" s="23">
        <v>167</v>
      </c>
    </row>
    <row r="26" spans="2:6" x14ac:dyDescent="0.25">
      <c r="B26" s="23">
        <v>20</v>
      </c>
      <c r="C26" s="70">
        <v>4300000</v>
      </c>
      <c r="D26" s="23" t="s">
        <v>1329</v>
      </c>
      <c r="E26" s="24">
        <v>45642</v>
      </c>
      <c r="F26" s="23">
        <v>168</v>
      </c>
    </row>
    <row r="27" spans="2:6" x14ac:dyDescent="0.25">
      <c r="B27" s="23">
        <v>21</v>
      </c>
      <c r="C27" s="70">
        <v>4300000</v>
      </c>
      <c r="D27" s="23" t="s">
        <v>1330</v>
      </c>
      <c r="E27" s="24">
        <v>45670</v>
      </c>
      <c r="F27" s="23">
        <v>179</v>
      </c>
    </row>
    <row r="28" spans="2:6" x14ac:dyDescent="0.25">
      <c r="B28" s="23">
        <v>22</v>
      </c>
      <c r="C28" s="70">
        <v>4300000</v>
      </c>
      <c r="D28" s="23" t="s">
        <v>1331</v>
      </c>
      <c r="E28" s="24">
        <v>45673</v>
      </c>
      <c r="F28" s="23">
        <v>185</v>
      </c>
    </row>
    <row r="29" spans="2:6" x14ac:dyDescent="0.25">
      <c r="B29" s="23">
        <v>23</v>
      </c>
      <c r="C29" s="70">
        <v>4300000</v>
      </c>
      <c r="D29" s="23" t="s">
        <v>1332</v>
      </c>
      <c r="E29" s="24">
        <v>45702</v>
      </c>
      <c r="F29" s="23">
        <v>209</v>
      </c>
    </row>
    <row r="30" spans="2:6" x14ac:dyDescent="0.25">
      <c r="B30" s="23">
        <v>24</v>
      </c>
      <c r="C30" s="70">
        <v>4300000</v>
      </c>
      <c r="D30" s="23" t="s">
        <v>1333</v>
      </c>
      <c r="E30" s="24">
        <v>45701</v>
      </c>
      <c r="F30" s="23">
        <v>208</v>
      </c>
    </row>
    <row r="31" spans="2:6" x14ac:dyDescent="0.25">
      <c r="B31" s="23">
        <v>25</v>
      </c>
      <c r="C31" s="70">
        <v>4300000</v>
      </c>
      <c r="D31" s="23" t="s">
        <v>1334</v>
      </c>
      <c r="E31" s="24">
        <v>45713</v>
      </c>
      <c r="F31" s="23">
        <v>214</v>
      </c>
    </row>
    <row r="32" spans="2:6" x14ac:dyDescent="0.25">
      <c r="B32" s="23">
        <v>26</v>
      </c>
      <c r="C32" s="70">
        <v>4300000</v>
      </c>
      <c r="D32" s="23" t="s">
        <v>1335</v>
      </c>
      <c r="E32" s="24">
        <v>45719</v>
      </c>
      <c r="F32" s="23">
        <v>225</v>
      </c>
    </row>
    <row r="33" spans="2:6" x14ac:dyDescent="0.25">
      <c r="B33" s="23">
        <v>27</v>
      </c>
      <c r="C33" s="70">
        <v>4300000</v>
      </c>
      <c r="D33" s="23" t="s">
        <v>1336</v>
      </c>
      <c r="E33" s="24">
        <v>45719</v>
      </c>
      <c r="F33" s="23">
        <v>224</v>
      </c>
    </row>
    <row r="34" spans="2:6" x14ac:dyDescent="0.25">
      <c r="B34" s="23">
        <v>28</v>
      </c>
      <c r="C34" s="70">
        <v>4300000</v>
      </c>
      <c r="D34" s="23" t="s">
        <v>1337</v>
      </c>
      <c r="E34" s="24">
        <v>45720</v>
      </c>
      <c r="F34" s="23">
        <v>228</v>
      </c>
    </row>
    <row r="35" spans="2:6" x14ac:dyDescent="0.25">
      <c r="B35" s="23">
        <v>29</v>
      </c>
      <c r="C35" s="70">
        <v>4300000</v>
      </c>
      <c r="D35" s="23" t="s">
        <v>1338</v>
      </c>
      <c r="E35" s="24">
        <v>45723</v>
      </c>
      <c r="F35" s="23">
        <v>230</v>
      </c>
    </row>
    <row r="36" spans="2:6" x14ac:dyDescent="0.25">
      <c r="B36" s="23">
        <v>30</v>
      </c>
      <c r="C36" s="70">
        <v>4300000</v>
      </c>
      <c r="D36" s="23" t="s">
        <v>1339</v>
      </c>
      <c r="E36" s="24">
        <v>45728</v>
      </c>
      <c r="F36" s="23">
        <v>235</v>
      </c>
    </row>
    <row r="37" spans="2:6" x14ac:dyDescent="0.25">
      <c r="B37" s="23">
        <v>31</v>
      </c>
      <c r="C37" s="70">
        <v>4300000</v>
      </c>
      <c r="D37" s="23" t="s">
        <v>1340</v>
      </c>
      <c r="E37" s="24">
        <v>45728</v>
      </c>
      <c r="F37" s="23">
        <v>233</v>
      </c>
    </row>
    <row r="38" spans="2:6" x14ac:dyDescent="0.25">
      <c r="B38" s="23">
        <v>32</v>
      </c>
      <c r="C38" s="70">
        <v>4300000</v>
      </c>
      <c r="D38" s="23" t="s">
        <v>1341</v>
      </c>
      <c r="E38" s="24">
        <v>45728</v>
      </c>
      <c r="F38" s="23">
        <v>234</v>
      </c>
    </row>
    <row r="39" spans="2:6" x14ac:dyDescent="0.25">
      <c r="B39" s="23">
        <v>33</v>
      </c>
      <c r="C39" s="70">
        <v>4300000</v>
      </c>
      <c r="D39" s="23" t="s">
        <v>1342</v>
      </c>
      <c r="E39" s="24">
        <v>45729</v>
      </c>
      <c r="F39" s="23">
        <v>237</v>
      </c>
    </row>
  </sheetData>
  <phoneticPr fontId="21" type="noConversion"/>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327299-B647-4F21-A55E-4955D6B33AF2}">
  <dimension ref="A1"/>
  <sheetViews>
    <sheetView workbookViewId="0"/>
  </sheetViews>
  <sheetFormatPr baseColWidth="10" defaultColWidth="11.42578125" defaultRowHeight="15" x14ac:dyDescent="0.25"/>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8D2DB7-A77F-4815-B6C2-3378263A6015}">
  <sheetPr codeName="Hoja17"/>
  <dimension ref="B2:I14"/>
  <sheetViews>
    <sheetView zoomScale="115" zoomScaleNormal="115" workbookViewId="0">
      <selection activeCell="E9" sqref="E9"/>
    </sheetView>
  </sheetViews>
  <sheetFormatPr baseColWidth="10" defaultColWidth="11.42578125" defaultRowHeight="15" x14ac:dyDescent="0.25"/>
  <cols>
    <col min="3" max="3" width="14.5703125" customWidth="1"/>
    <col min="4" max="4" width="10" bestFit="1" customWidth="1"/>
    <col min="5" max="5" width="14.28515625" bestFit="1" customWidth="1"/>
    <col min="6" max="6" width="13.28515625" bestFit="1" customWidth="1"/>
    <col min="7" max="7" width="5.7109375" bestFit="1" customWidth="1"/>
    <col min="8" max="8" width="16.5703125" bestFit="1" customWidth="1"/>
    <col min="9" max="9" width="13.5703125" bestFit="1" customWidth="1"/>
  </cols>
  <sheetData>
    <row r="2" spans="2:9" x14ac:dyDescent="0.25">
      <c r="B2" t="s">
        <v>1343</v>
      </c>
    </row>
    <row r="4" spans="2:9" x14ac:dyDescent="0.25">
      <c r="B4" s="69" t="s">
        <v>184</v>
      </c>
      <c r="C4" s="69" t="s">
        <v>1344</v>
      </c>
      <c r="D4" s="69" t="s">
        <v>1</v>
      </c>
      <c r="E4" s="69" t="s">
        <v>1345</v>
      </c>
      <c r="F4" s="69" t="s">
        <v>102</v>
      </c>
      <c r="G4" s="69" t="s">
        <v>1316</v>
      </c>
      <c r="H4" s="69" t="s">
        <v>1133</v>
      </c>
      <c r="I4" s="69" t="s">
        <v>1346</v>
      </c>
    </row>
    <row r="5" spans="2:9" x14ac:dyDescent="0.25">
      <c r="B5" s="23">
        <v>1</v>
      </c>
      <c r="C5" s="70"/>
      <c r="D5" s="23" t="s">
        <v>1347</v>
      </c>
      <c r="E5" s="24"/>
      <c r="F5" s="24" t="s">
        <v>1348</v>
      </c>
      <c r="G5" s="70"/>
      <c r="H5" s="23"/>
      <c r="I5" s="24"/>
    </row>
    <row r="6" spans="2:9" x14ac:dyDescent="0.25">
      <c r="B6" s="23">
        <v>2</v>
      </c>
      <c r="C6" s="70"/>
      <c r="D6" s="23" t="s">
        <v>1349</v>
      </c>
      <c r="E6" s="24"/>
      <c r="F6" s="24" t="s">
        <v>1350</v>
      </c>
      <c r="G6" s="70"/>
      <c r="H6" s="23"/>
      <c r="I6" s="24"/>
    </row>
    <row r="7" spans="2:9" x14ac:dyDescent="0.25">
      <c r="B7" s="23">
        <v>3</v>
      </c>
      <c r="C7" s="70"/>
      <c r="D7" s="23" t="s">
        <v>1351</v>
      </c>
      <c r="E7" s="24"/>
      <c r="F7" s="24" t="s">
        <v>1350</v>
      </c>
      <c r="G7" s="70"/>
      <c r="H7" s="23"/>
      <c r="I7" s="24"/>
    </row>
    <row r="8" spans="2:9" x14ac:dyDescent="0.25">
      <c r="B8" s="23">
        <v>4</v>
      </c>
      <c r="C8" s="70" t="s">
        <v>1352</v>
      </c>
      <c r="D8" s="23" t="s">
        <v>1353</v>
      </c>
      <c r="E8" s="24"/>
      <c r="F8" s="24" t="s">
        <v>1350</v>
      </c>
      <c r="G8" s="70"/>
      <c r="H8" s="23"/>
      <c r="I8" s="24"/>
    </row>
    <row r="9" spans="2:9" x14ac:dyDescent="0.25">
      <c r="B9" s="23">
        <v>5</v>
      </c>
      <c r="C9" s="70" t="s">
        <v>1354</v>
      </c>
      <c r="D9" s="23"/>
      <c r="E9" s="24"/>
      <c r="F9" s="24" t="s">
        <v>1355</v>
      </c>
      <c r="G9" s="70"/>
      <c r="H9" s="23"/>
      <c r="I9" s="24"/>
    </row>
    <row r="10" spans="2:9" x14ac:dyDescent="0.25">
      <c r="B10" s="23">
        <v>6</v>
      </c>
      <c r="C10" s="70"/>
      <c r="D10" s="23"/>
      <c r="E10" s="24"/>
      <c r="F10" s="24"/>
      <c r="G10" s="70"/>
      <c r="H10" s="23"/>
      <c r="I10" s="24"/>
    </row>
    <row r="11" spans="2:9" x14ac:dyDescent="0.25">
      <c r="B11" s="23">
        <v>7</v>
      </c>
      <c r="C11" s="70"/>
      <c r="D11" s="23"/>
      <c r="E11" s="24"/>
      <c r="F11" s="24"/>
      <c r="G11" s="70"/>
      <c r="H11" s="23"/>
      <c r="I11" s="24"/>
    </row>
    <row r="12" spans="2:9" x14ac:dyDescent="0.25">
      <c r="B12" s="23">
        <v>8</v>
      </c>
      <c r="C12" s="70"/>
      <c r="D12" s="23"/>
      <c r="E12" s="24"/>
      <c r="F12" s="24"/>
      <c r="G12" s="70"/>
      <c r="H12" s="23"/>
      <c r="I12" s="24"/>
    </row>
    <row r="13" spans="2:9" x14ac:dyDescent="0.25">
      <c r="B13" s="23">
        <v>9</v>
      </c>
      <c r="C13" s="70"/>
      <c r="D13" s="23"/>
      <c r="E13" s="24"/>
      <c r="F13" s="24"/>
      <c r="G13" s="70"/>
      <c r="H13" s="23"/>
      <c r="I13" s="24"/>
    </row>
    <row r="14" spans="2:9" x14ac:dyDescent="0.25">
      <c r="B14" s="23">
        <v>10</v>
      </c>
      <c r="C14" s="70"/>
      <c r="D14" s="23"/>
      <c r="E14" s="24"/>
      <c r="F14" s="24"/>
      <c r="G14" s="70"/>
      <c r="H14" s="23"/>
      <c r="I14" s="24"/>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62A385-3303-4B34-8DFE-444853FF60F3}">
  <sheetPr codeName="Hoja2"/>
  <dimension ref="A1:D6"/>
  <sheetViews>
    <sheetView workbookViewId="0">
      <selection activeCell="D21" sqref="D21"/>
    </sheetView>
  </sheetViews>
  <sheetFormatPr baseColWidth="10" defaultColWidth="11.42578125" defaultRowHeight="15" x14ac:dyDescent="0.25"/>
  <cols>
    <col min="1" max="1" width="14.5703125" customWidth="1"/>
    <col min="2" max="2" width="17.5703125" customWidth="1"/>
    <col min="3" max="3" width="26.42578125" customWidth="1"/>
    <col min="4" max="4" width="13.5703125" customWidth="1"/>
    <col min="5" max="5" width="24" customWidth="1"/>
  </cols>
  <sheetData>
    <row r="1" spans="1:4" x14ac:dyDescent="0.25">
      <c r="A1" s="25" t="s">
        <v>16</v>
      </c>
      <c r="B1" s="25" t="s">
        <v>1</v>
      </c>
      <c r="C1" s="25" t="s">
        <v>7</v>
      </c>
      <c r="D1" s="25" t="s">
        <v>17</v>
      </c>
    </row>
    <row r="2" spans="1:4" x14ac:dyDescent="0.25">
      <c r="A2" s="23">
        <v>1101</v>
      </c>
      <c r="B2" s="23" t="s">
        <v>18</v>
      </c>
      <c r="C2" s="23" t="s">
        <v>9</v>
      </c>
      <c r="D2" s="24">
        <v>45251</v>
      </c>
    </row>
    <row r="3" spans="1:4" x14ac:dyDescent="0.25">
      <c r="A3" s="23">
        <v>1301</v>
      </c>
      <c r="B3" s="23" t="s">
        <v>19</v>
      </c>
      <c r="C3" s="23" t="s">
        <v>9</v>
      </c>
      <c r="D3" s="24">
        <v>45218</v>
      </c>
    </row>
    <row r="4" spans="1:4" x14ac:dyDescent="0.25">
      <c r="A4" s="23">
        <v>1322</v>
      </c>
      <c r="B4" s="23" t="s">
        <v>20</v>
      </c>
      <c r="C4" s="23" t="s">
        <v>9</v>
      </c>
      <c r="D4" s="24">
        <v>45208</v>
      </c>
    </row>
    <row r="5" spans="1:4" x14ac:dyDescent="0.25">
      <c r="A5" s="23">
        <v>1403</v>
      </c>
      <c r="B5" s="23" t="s">
        <v>21</v>
      </c>
      <c r="C5" s="23" t="s">
        <v>9</v>
      </c>
      <c r="D5" s="24">
        <v>45250</v>
      </c>
    </row>
    <row r="6" spans="1:4" x14ac:dyDescent="0.25">
      <c r="A6" s="23">
        <v>1221</v>
      </c>
      <c r="B6" s="23" t="s">
        <v>22</v>
      </c>
      <c r="C6" s="23" t="s">
        <v>9</v>
      </c>
      <c r="D6" s="24">
        <v>45218</v>
      </c>
    </row>
  </sheetData>
  <pageMargins left="0.7" right="0.7" top="0.75" bottom="0.75" header="0.3" footer="0.3"/>
  <pageSetup orientation="portrait" horizont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864AAE-50E3-4BE5-9D35-E77E8376CBF5}">
  <sheetPr codeName="Hoja3"/>
  <dimension ref="A1:L50"/>
  <sheetViews>
    <sheetView zoomScale="77" zoomScaleNormal="85" workbookViewId="0">
      <pane xSplit="2" topLeftCell="C1" activePane="topRight" state="frozen"/>
      <selection pane="topRight" activeCell="B54" sqref="B54"/>
    </sheetView>
  </sheetViews>
  <sheetFormatPr baseColWidth="10" defaultColWidth="11.42578125" defaultRowHeight="15" x14ac:dyDescent="0.25"/>
  <cols>
    <col min="1" max="1" width="20.5703125" style="19" bestFit="1" customWidth="1"/>
    <col min="2" max="2" width="46.5703125" bestFit="1" customWidth="1"/>
    <col min="3" max="3" width="27.5703125" customWidth="1"/>
    <col min="4" max="4" width="18.140625" style="7" customWidth="1"/>
    <col min="5" max="5" width="22.42578125" bestFit="1" customWidth="1"/>
    <col min="6" max="6" width="15.5703125" style="7" customWidth="1"/>
    <col min="7" max="7" width="40.42578125" customWidth="1"/>
    <col min="8" max="8" width="9.42578125" style="5" bestFit="1" customWidth="1"/>
    <col min="9" max="9" width="19.42578125" customWidth="1"/>
    <col min="10" max="10" width="20.5703125" customWidth="1"/>
    <col min="11" max="11" width="18.42578125" customWidth="1"/>
  </cols>
  <sheetData>
    <row r="1" spans="1:12" x14ac:dyDescent="0.25">
      <c r="A1" s="17" t="s">
        <v>23</v>
      </c>
      <c r="B1" t="s">
        <v>1</v>
      </c>
      <c r="C1" t="s">
        <v>24</v>
      </c>
      <c r="D1" s="7" t="s">
        <v>3</v>
      </c>
      <c r="E1" t="s">
        <v>4</v>
      </c>
      <c r="F1" s="7" t="s">
        <v>5</v>
      </c>
      <c r="G1" t="s">
        <v>25</v>
      </c>
      <c r="H1" s="5" t="s">
        <v>26</v>
      </c>
      <c r="I1" t="s">
        <v>27</v>
      </c>
      <c r="J1" t="s">
        <v>28</v>
      </c>
      <c r="K1" t="s">
        <v>29</v>
      </c>
      <c r="L1" t="s">
        <v>30</v>
      </c>
    </row>
    <row r="2" spans="1:12" hidden="1" x14ac:dyDescent="0.25">
      <c r="A2" s="4">
        <v>20221610133562</v>
      </c>
      <c r="B2" t="s">
        <v>31</v>
      </c>
      <c r="C2" t="s">
        <v>32</v>
      </c>
      <c r="D2" s="7">
        <v>44818</v>
      </c>
      <c r="E2" t="s">
        <v>32</v>
      </c>
      <c r="F2" s="7">
        <v>44820</v>
      </c>
      <c r="H2" s="5" t="s">
        <v>33</v>
      </c>
      <c r="J2" s="10">
        <v>26932694</v>
      </c>
    </row>
    <row r="3" spans="1:12" hidden="1" x14ac:dyDescent="0.25">
      <c r="A3" s="4">
        <v>20221610149112</v>
      </c>
      <c r="B3" t="s">
        <v>34</v>
      </c>
      <c r="C3" t="s">
        <v>32</v>
      </c>
      <c r="D3" s="7">
        <v>44817</v>
      </c>
      <c r="E3" t="s">
        <v>32</v>
      </c>
      <c r="F3" s="7">
        <v>44841</v>
      </c>
      <c r="H3" s="5" t="s">
        <v>33</v>
      </c>
      <c r="J3" s="10">
        <v>462600851</v>
      </c>
    </row>
    <row r="4" spans="1:12" hidden="1" x14ac:dyDescent="0.25">
      <c r="A4" s="4">
        <v>20221610146302</v>
      </c>
      <c r="B4" t="s">
        <v>35</v>
      </c>
      <c r="C4" t="s">
        <v>32</v>
      </c>
      <c r="D4" s="7">
        <v>44792</v>
      </c>
      <c r="E4" t="s">
        <v>32</v>
      </c>
      <c r="F4" s="7">
        <v>44797</v>
      </c>
      <c r="H4" s="5" t="s">
        <v>36</v>
      </c>
      <c r="J4" s="10">
        <v>285406513</v>
      </c>
    </row>
    <row r="5" spans="1:12" hidden="1" x14ac:dyDescent="0.25">
      <c r="A5" s="4">
        <v>20221610171882</v>
      </c>
      <c r="B5" t="s">
        <v>37</v>
      </c>
      <c r="C5" t="s">
        <v>32</v>
      </c>
      <c r="D5" s="7">
        <v>44875</v>
      </c>
      <c r="E5" t="s">
        <v>32</v>
      </c>
      <c r="F5" s="7">
        <v>44875</v>
      </c>
      <c r="H5" s="5" t="s">
        <v>36</v>
      </c>
      <c r="J5" s="10">
        <v>125707649</v>
      </c>
    </row>
    <row r="6" spans="1:12" hidden="1" x14ac:dyDescent="0.25">
      <c r="A6" s="4">
        <v>20221610186572</v>
      </c>
      <c r="B6" t="s">
        <v>38</v>
      </c>
      <c r="C6" t="s">
        <v>32</v>
      </c>
      <c r="D6" s="7">
        <v>44866</v>
      </c>
      <c r="E6" t="s">
        <v>32</v>
      </c>
      <c r="F6" s="7">
        <v>44896</v>
      </c>
      <c r="H6" s="5" t="s">
        <v>36</v>
      </c>
      <c r="J6" s="10">
        <v>63244600</v>
      </c>
    </row>
    <row r="7" spans="1:12" hidden="1" x14ac:dyDescent="0.25">
      <c r="A7" s="4">
        <v>20221610188432</v>
      </c>
      <c r="B7" t="s">
        <v>39</v>
      </c>
      <c r="C7" t="s">
        <v>32</v>
      </c>
      <c r="D7" s="7">
        <v>44876</v>
      </c>
      <c r="E7" t="s">
        <v>32</v>
      </c>
      <c r="F7" s="7">
        <v>44908</v>
      </c>
      <c r="H7" s="5" t="s">
        <v>36</v>
      </c>
      <c r="J7" s="10">
        <v>327731399</v>
      </c>
    </row>
    <row r="8" spans="1:12" hidden="1" x14ac:dyDescent="0.25">
      <c r="A8" s="4">
        <v>20231610013072</v>
      </c>
      <c r="B8" t="s">
        <v>40</v>
      </c>
      <c r="C8" t="s">
        <v>32</v>
      </c>
      <c r="D8" s="7">
        <v>45028</v>
      </c>
      <c r="E8" t="s">
        <v>32</v>
      </c>
      <c r="F8" s="7">
        <v>45028</v>
      </c>
      <c r="H8" s="5" t="s">
        <v>33</v>
      </c>
      <c r="J8" s="10">
        <v>84522000</v>
      </c>
    </row>
    <row r="9" spans="1:12" hidden="1" x14ac:dyDescent="0.25">
      <c r="A9" s="19">
        <v>20231610023722</v>
      </c>
      <c r="B9" t="s">
        <v>41</v>
      </c>
      <c r="C9" t="s">
        <v>32</v>
      </c>
      <c r="D9" s="7">
        <v>45117</v>
      </c>
      <c r="E9" t="s">
        <v>32</v>
      </c>
      <c r="F9" s="7">
        <v>45117</v>
      </c>
      <c r="H9" s="5" t="s">
        <v>36</v>
      </c>
      <c r="I9" s="12">
        <v>318561201</v>
      </c>
      <c r="J9" s="10">
        <v>318561201</v>
      </c>
    </row>
    <row r="10" spans="1:12" hidden="1" x14ac:dyDescent="0.25">
      <c r="A10" s="20">
        <v>20231610017912</v>
      </c>
      <c r="B10" t="s">
        <v>42</v>
      </c>
      <c r="C10" t="s">
        <v>32</v>
      </c>
      <c r="D10" s="7">
        <v>45013</v>
      </c>
      <c r="E10" t="s">
        <v>32</v>
      </c>
      <c r="F10" s="7">
        <v>45013</v>
      </c>
      <c r="H10" s="5" t="s">
        <v>33</v>
      </c>
      <c r="I10" s="12"/>
      <c r="J10" s="10">
        <v>204154465</v>
      </c>
    </row>
    <row r="11" spans="1:12" hidden="1" x14ac:dyDescent="0.25">
      <c r="A11" s="20">
        <v>20231610007712</v>
      </c>
      <c r="B11" t="s">
        <v>43</v>
      </c>
      <c r="C11" t="s">
        <v>32</v>
      </c>
      <c r="D11" s="8">
        <v>45111</v>
      </c>
      <c r="E11" t="s">
        <v>32</v>
      </c>
      <c r="F11" s="7">
        <v>45111</v>
      </c>
      <c r="H11" s="5" t="s">
        <v>33</v>
      </c>
      <c r="I11" s="12"/>
      <c r="J11" s="10">
        <v>119239773</v>
      </c>
    </row>
    <row r="12" spans="1:12" hidden="1" x14ac:dyDescent="0.25">
      <c r="A12" s="20">
        <v>20231610014322</v>
      </c>
      <c r="B12" t="s">
        <v>44</v>
      </c>
      <c r="C12" t="s">
        <v>32</v>
      </c>
      <c r="D12" s="7">
        <v>45075</v>
      </c>
      <c r="E12" t="s">
        <v>32</v>
      </c>
      <c r="F12" s="7">
        <v>45075</v>
      </c>
      <c r="H12" s="5" t="s">
        <v>36</v>
      </c>
      <c r="I12" s="12">
        <v>48384380</v>
      </c>
      <c r="J12" s="10">
        <v>48384380</v>
      </c>
    </row>
    <row r="13" spans="1:12" hidden="1" x14ac:dyDescent="0.25">
      <c r="A13" s="20">
        <v>20231610019492</v>
      </c>
      <c r="B13" t="s">
        <v>45</v>
      </c>
      <c r="C13" t="s">
        <v>32</v>
      </c>
      <c r="D13" s="7">
        <v>45051</v>
      </c>
      <c r="E13" t="s">
        <v>32</v>
      </c>
      <c r="F13" s="7">
        <v>45051</v>
      </c>
      <c r="H13" s="5" t="s">
        <v>36</v>
      </c>
      <c r="I13" s="12"/>
      <c r="J13" s="10">
        <v>203918396</v>
      </c>
    </row>
    <row r="14" spans="1:12" hidden="1" x14ac:dyDescent="0.25">
      <c r="A14" s="20">
        <v>20231610020792</v>
      </c>
      <c r="B14" t="s">
        <v>46</v>
      </c>
      <c r="C14" t="s">
        <v>32</v>
      </c>
      <c r="D14" s="7">
        <v>45019</v>
      </c>
      <c r="E14" t="s">
        <v>32</v>
      </c>
      <c r="F14" s="7">
        <v>45019</v>
      </c>
      <c r="G14" s="9"/>
      <c r="H14" s="15" t="s">
        <v>36</v>
      </c>
      <c r="I14" s="13"/>
      <c r="J14" s="10">
        <v>220143874</v>
      </c>
    </row>
    <row r="15" spans="1:12" hidden="1" x14ac:dyDescent="0.25">
      <c r="A15" s="19">
        <v>20231610041112</v>
      </c>
      <c r="B15" t="s">
        <v>47</v>
      </c>
      <c r="C15" t="s">
        <v>32</v>
      </c>
      <c r="D15" s="7">
        <v>45176</v>
      </c>
      <c r="E15" t="s">
        <v>32</v>
      </c>
      <c r="F15" s="7">
        <v>45176</v>
      </c>
      <c r="G15" s="6"/>
      <c r="H15" s="3" t="s">
        <v>36</v>
      </c>
      <c r="I15" s="12">
        <v>543471940</v>
      </c>
      <c r="J15" s="12">
        <v>543471940</v>
      </c>
    </row>
    <row r="16" spans="1:12" hidden="1" x14ac:dyDescent="0.25">
      <c r="A16" s="21">
        <v>20231610054622</v>
      </c>
      <c r="B16" s="18" t="s">
        <v>48</v>
      </c>
      <c r="C16" t="s">
        <v>32</v>
      </c>
      <c r="D16" s="7">
        <v>45189</v>
      </c>
      <c r="E16" t="s">
        <v>32</v>
      </c>
      <c r="F16" s="7">
        <v>45189</v>
      </c>
      <c r="G16" s="6"/>
      <c r="H16" s="3" t="s">
        <v>33</v>
      </c>
      <c r="I16" s="12">
        <v>28308837</v>
      </c>
      <c r="J16" s="12">
        <v>28308837</v>
      </c>
    </row>
    <row r="17" spans="1:11" hidden="1" x14ac:dyDescent="0.25">
      <c r="A17" s="21">
        <v>20231610057852</v>
      </c>
      <c r="B17" t="s">
        <v>49</v>
      </c>
      <c r="C17" t="s">
        <v>32</v>
      </c>
      <c r="D17" s="1">
        <v>45206</v>
      </c>
      <c r="E17" t="s">
        <v>32</v>
      </c>
      <c r="F17" s="8">
        <v>45117</v>
      </c>
      <c r="H17" s="5" t="s">
        <v>33</v>
      </c>
      <c r="I17" s="12">
        <v>30332882</v>
      </c>
      <c r="J17" s="10">
        <v>30332882</v>
      </c>
    </row>
    <row r="18" spans="1:11" hidden="1" x14ac:dyDescent="0.25">
      <c r="A18" s="20">
        <v>20231610063952</v>
      </c>
      <c r="B18" t="s">
        <v>50</v>
      </c>
      <c r="C18" t="s">
        <v>32</v>
      </c>
      <c r="D18" s="11">
        <v>45022</v>
      </c>
      <c r="E18" t="s">
        <v>32</v>
      </c>
      <c r="F18" s="11">
        <v>45022</v>
      </c>
      <c r="H18" s="5" t="s">
        <v>36</v>
      </c>
      <c r="I18" s="12">
        <v>107086310</v>
      </c>
      <c r="J18" s="10">
        <v>107086310</v>
      </c>
    </row>
    <row r="19" spans="1:11" hidden="1" x14ac:dyDescent="0.25">
      <c r="A19" s="19">
        <v>20231610080752</v>
      </c>
      <c r="B19" t="s">
        <v>51</v>
      </c>
      <c r="C19" t="s">
        <v>32</v>
      </c>
      <c r="D19" s="11" t="s">
        <v>52</v>
      </c>
      <c r="E19" t="s">
        <v>32</v>
      </c>
      <c r="F19" s="11" t="s">
        <v>52</v>
      </c>
      <c r="H19" s="5" t="s">
        <v>36</v>
      </c>
      <c r="I19" s="12">
        <v>751935101.17999995</v>
      </c>
      <c r="J19" s="12">
        <v>751935101.17999995</v>
      </c>
    </row>
    <row r="20" spans="1:11" hidden="1" x14ac:dyDescent="0.25">
      <c r="A20" s="19">
        <v>20231610098112</v>
      </c>
      <c r="B20" t="s">
        <v>53</v>
      </c>
      <c r="C20" t="s">
        <v>32</v>
      </c>
      <c r="D20" s="7">
        <v>45153</v>
      </c>
      <c r="E20" t="s">
        <v>32</v>
      </c>
      <c r="F20" s="7">
        <v>45153</v>
      </c>
      <c r="H20" s="5" t="s">
        <v>36</v>
      </c>
      <c r="I20" s="14">
        <v>88182698</v>
      </c>
      <c r="J20" s="10">
        <v>88182698</v>
      </c>
    </row>
    <row r="21" spans="1:11" ht="15" hidden="1" customHeight="1" x14ac:dyDescent="0.25">
      <c r="A21" s="22" t="s">
        <v>54</v>
      </c>
      <c r="B21" t="s">
        <v>55</v>
      </c>
      <c r="C21" t="s">
        <v>32</v>
      </c>
      <c r="D21" s="7">
        <v>45194</v>
      </c>
      <c r="E21" t="s">
        <v>32</v>
      </c>
      <c r="F21" s="8" t="s">
        <v>56</v>
      </c>
      <c r="G21" s="6"/>
      <c r="H21" s="16" t="s">
        <v>36</v>
      </c>
      <c r="I21" s="14">
        <v>212443581</v>
      </c>
      <c r="J21" s="14">
        <v>212443581</v>
      </c>
    </row>
    <row r="22" spans="1:11" hidden="1" x14ac:dyDescent="0.25">
      <c r="A22" s="19">
        <v>20231610130142</v>
      </c>
      <c r="B22" t="s">
        <v>57</v>
      </c>
      <c r="C22" t="s">
        <v>32</v>
      </c>
      <c r="D22" s="7">
        <v>45181</v>
      </c>
      <c r="E22" t="s">
        <v>32</v>
      </c>
      <c r="F22" s="7">
        <v>45181</v>
      </c>
      <c r="H22" s="5" t="s">
        <v>33</v>
      </c>
      <c r="I22" s="14">
        <v>90986167</v>
      </c>
      <c r="J22" s="10">
        <v>90961207</v>
      </c>
      <c r="K22" s="10">
        <f>Tabla3[[#This Row],[Valor aprobado ]]-Tabla3[[#This Row],[Valor enviado]]</f>
        <v>-24960</v>
      </c>
    </row>
    <row r="23" spans="1:11" ht="17.45" hidden="1" customHeight="1" x14ac:dyDescent="0.25">
      <c r="A23" s="29">
        <v>20231610151362</v>
      </c>
      <c r="B23" s="30" t="s">
        <v>58</v>
      </c>
      <c r="C23" t="s">
        <v>32</v>
      </c>
      <c r="D23" s="7">
        <v>45408</v>
      </c>
      <c r="E23" t="s">
        <v>32</v>
      </c>
      <c r="F23" s="7">
        <v>45408</v>
      </c>
      <c r="G23" s="6"/>
      <c r="H23" s="5" t="s">
        <v>36</v>
      </c>
      <c r="I23" s="14">
        <v>117472018</v>
      </c>
      <c r="J23" s="10">
        <v>117472018</v>
      </c>
    </row>
    <row r="24" spans="1:11" hidden="1" x14ac:dyDescent="0.25">
      <c r="A24" s="19">
        <v>20231610246562</v>
      </c>
      <c r="B24" t="s">
        <v>59</v>
      </c>
      <c r="C24" t="s">
        <v>32</v>
      </c>
      <c r="D24" s="7">
        <v>45342</v>
      </c>
      <c r="E24" t="s">
        <v>32</v>
      </c>
      <c r="F24" s="7">
        <v>45342</v>
      </c>
      <c r="G24" s="6"/>
      <c r="H24" s="5" t="s">
        <v>33</v>
      </c>
      <c r="I24" s="12">
        <v>140301069</v>
      </c>
      <c r="J24" s="14">
        <v>140301069</v>
      </c>
    </row>
    <row r="25" spans="1:11" hidden="1" x14ac:dyDescent="0.25">
      <c r="A25" s="19">
        <v>20241610067532</v>
      </c>
      <c r="B25" t="s">
        <v>60</v>
      </c>
      <c r="C25" t="s">
        <v>32</v>
      </c>
      <c r="D25" s="7">
        <v>45414</v>
      </c>
      <c r="E25" t="s">
        <v>32</v>
      </c>
      <c r="F25" s="7">
        <v>45414</v>
      </c>
      <c r="H25" s="5" t="s">
        <v>36</v>
      </c>
      <c r="I25" s="12">
        <v>389134087</v>
      </c>
      <c r="J25" s="10">
        <v>389134087</v>
      </c>
    </row>
    <row r="26" spans="1:11" hidden="1" x14ac:dyDescent="0.25">
      <c r="A26" s="19">
        <v>20231610182072</v>
      </c>
      <c r="B26" t="s">
        <v>61</v>
      </c>
      <c r="C26" t="s">
        <v>32</v>
      </c>
      <c r="D26" s="7">
        <v>45278</v>
      </c>
      <c r="E26" t="s">
        <v>32</v>
      </c>
      <c r="F26" s="7">
        <v>45278</v>
      </c>
      <c r="H26" s="5" t="s">
        <v>36</v>
      </c>
      <c r="I26" s="14">
        <v>103114078</v>
      </c>
      <c r="J26" s="10">
        <v>103114078</v>
      </c>
    </row>
    <row r="27" spans="1:11" hidden="1" x14ac:dyDescent="0.25">
      <c r="A27" s="19">
        <v>20241610042782</v>
      </c>
      <c r="B27" t="s">
        <v>62</v>
      </c>
      <c r="C27" t="s">
        <v>32</v>
      </c>
      <c r="D27" s="7">
        <v>45407</v>
      </c>
      <c r="E27" t="s">
        <v>32</v>
      </c>
      <c r="F27" s="7">
        <v>45407</v>
      </c>
      <c r="H27" s="5" t="s">
        <v>33</v>
      </c>
      <c r="I27" s="12">
        <v>182110990</v>
      </c>
      <c r="J27" s="10">
        <v>181185276</v>
      </c>
      <c r="K27" s="10">
        <f>Tabla3[[#This Row],[Valor enviado]]-Tabla3[[#This Row],[Valor aprobado ]]</f>
        <v>925714</v>
      </c>
    </row>
    <row r="28" spans="1:11" hidden="1" x14ac:dyDescent="0.25">
      <c r="A28" s="19">
        <v>20231610275332</v>
      </c>
      <c r="B28" t="s">
        <v>63</v>
      </c>
      <c r="C28" t="s">
        <v>32</v>
      </c>
      <c r="D28" s="7">
        <v>45004</v>
      </c>
      <c r="E28" s="1" t="s">
        <v>32</v>
      </c>
      <c r="F28" s="7">
        <v>45370</v>
      </c>
      <c r="G28" s="6"/>
      <c r="H28" s="5" t="s">
        <v>33</v>
      </c>
      <c r="I28" s="14">
        <v>40834429</v>
      </c>
      <c r="J28" s="10">
        <v>40049844</v>
      </c>
      <c r="K28" s="10">
        <f>Tabla3[[#This Row],[Valor aprobado ]]-Tabla3[[#This Row],[Valor enviado]]</f>
        <v>-784585</v>
      </c>
    </row>
    <row r="29" spans="1:11" hidden="1" x14ac:dyDescent="0.25">
      <c r="A29" s="19">
        <v>20231610279282</v>
      </c>
      <c r="B29" t="s">
        <v>64</v>
      </c>
      <c r="C29" s="1" t="s">
        <v>32</v>
      </c>
      <c r="D29" s="27">
        <v>45384</v>
      </c>
      <c r="E29" s="1" t="s">
        <v>32</v>
      </c>
      <c r="F29" s="7">
        <v>45384</v>
      </c>
      <c r="H29" s="5" t="s">
        <v>33</v>
      </c>
      <c r="I29" s="14">
        <v>36285637</v>
      </c>
      <c r="J29" s="10">
        <v>36285637</v>
      </c>
    </row>
    <row r="30" spans="1:11" hidden="1" x14ac:dyDescent="0.25">
      <c r="A30" s="36">
        <v>20231610265072</v>
      </c>
      <c r="B30" s="26" t="s">
        <v>65</v>
      </c>
      <c r="C30" t="s">
        <v>32</v>
      </c>
      <c r="D30" s="7">
        <v>45342</v>
      </c>
      <c r="E30" t="s">
        <v>32</v>
      </c>
      <c r="F30" s="7">
        <v>45342</v>
      </c>
      <c r="G30" s="6"/>
      <c r="I30" s="12">
        <v>30341067</v>
      </c>
      <c r="J30" s="10"/>
    </row>
    <row r="31" spans="1:11" hidden="1" x14ac:dyDescent="0.25">
      <c r="A31" s="19">
        <v>20241610018092</v>
      </c>
      <c r="B31" t="s">
        <v>66</v>
      </c>
      <c r="C31" t="s">
        <v>32</v>
      </c>
      <c r="D31" s="7">
        <v>45359</v>
      </c>
      <c r="E31" t="s">
        <v>32</v>
      </c>
      <c r="F31" s="7">
        <v>45359</v>
      </c>
      <c r="H31" s="5" t="s">
        <v>33</v>
      </c>
      <c r="I31" s="14">
        <v>29000000</v>
      </c>
      <c r="J31" s="10">
        <f>Tabla3[[#This Row],[Valor enviado]]-34585</f>
        <v>28965415</v>
      </c>
    </row>
    <row r="32" spans="1:11" hidden="1" x14ac:dyDescent="0.25">
      <c r="A32" s="19">
        <v>20241610024612</v>
      </c>
      <c r="B32" t="s">
        <v>67</v>
      </c>
      <c r="C32" t="s">
        <v>32</v>
      </c>
      <c r="D32" s="7">
        <v>45372</v>
      </c>
      <c r="E32" t="s">
        <v>32</v>
      </c>
      <c r="F32" s="7">
        <v>45372</v>
      </c>
      <c r="H32" s="5" t="s">
        <v>33</v>
      </c>
      <c r="I32" s="12">
        <v>109275882</v>
      </c>
      <c r="J32" s="10">
        <f>108955635</f>
        <v>108955635</v>
      </c>
      <c r="K32" s="10">
        <f>Tabla3[[#This Row],[Valor enviado]]-Tabla3[[#This Row],[Valor aprobado ]]</f>
        <v>320247</v>
      </c>
    </row>
    <row r="33" spans="1:12" ht="13.35" customHeight="1" x14ac:dyDescent="0.25">
      <c r="A33" s="19">
        <v>20241610077802</v>
      </c>
      <c r="B33" t="s">
        <v>68</v>
      </c>
      <c r="C33" t="s">
        <v>69</v>
      </c>
      <c r="D33" s="7">
        <v>45513</v>
      </c>
      <c r="E33" t="s">
        <v>70</v>
      </c>
      <c r="F33" s="7">
        <v>45548</v>
      </c>
      <c r="G33" s="3" t="s">
        <v>71</v>
      </c>
      <c r="H33" s="5" t="s">
        <v>36</v>
      </c>
      <c r="I33" s="12">
        <v>145642569</v>
      </c>
      <c r="J33" s="10"/>
    </row>
    <row r="34" spans="1:12" ht="14.45" customHeight="1" x14ac:dyDescent="0.25">
      <c r="A34" s="38">
        <v>20241610026652</v>
      </c>
      <c r="B34" s="33" t="s">
        <v>72</v>
      </c>
      <c r="C34" s="33" t="s">
        <v>73</v>
      </c>
      <c r="D34" s="39">
        <v>45503</v>
      </c>
      <c r="E34" s="33" t="s">
        <v>74</v>
      </c>
      <c r="F34" s="39">
        <v>45517</v>
      </c>
      <c r="G34" s="35" t="s">
        <v>75</v>
      </c>
      <c r="H34" s="34" t="s">
        <v>33</v>
      </c>
      <c r="I34" s="40">
        <v>4402776676</v>
      </c>
      <c r="J34" s="41">
        <v>4399963223</v>
      </c>
      <c r="K34" s="41">
        <f>Tabla3[[#This Row],[Valor enviado]]-Tabla3[[#This Row],[Valor aprobado ]]</f>
        <v>2813453</v>
      </c>
    </row>
    <row r="35" spans="1:12" hidden="1" x14ac:dyDescent="0.25">
      <c r="A35" s="19">
        <v>20241610070642</v>
      </c>
      <c r="B35" t="s">
        <v>76</v>
      </c>
      <c r="C35" t="s">
        <v>32</v>
      </c>
      <c r="D35" s="7">
        <v>45436</v>
      </c>
      <c r="E35" t="s">
        <v>32</v>
      </c>
      <c r="F35" s="7">
        <v>45436</v>
      </c>
      <c r="H35" s="5" t="s">
        <v>36</v>
      </c>
      <c r="I35" s="14">
        <v>145259683</v>
      </c>
      <c r="J35" s="10">
        <v>145259683</v>
      </c>
    </row>
    <row r="36" spans="1:12" hidden="1" x14ac:dyDescent="0.25">
      <c r="A36" s="19">
        <v>20241610088652</v>
      </c>
      <c r="B36" t="s">
        <v>77</v>
      </c>
      <c r="C36" t="s">
        <v>70</v>
      </c>
      <c r="D36" s="7">
        <v>45455</v>
      </c>
      <c r="E36" t="s">
        <v>70</v>
      </c>
      <c r="F36" s="7">
        <v>45455</v>
      </c>
      <c r="H36" s="5" t="s">
        <v>33</v>
      </c>
      <c r="I36" s="12">
        <v>446045222</v>
      </c>
      <c r="J36" s="37">
        <v>446045222</v>
      </c>
    </row>
    <row r="37" spans="1:12" hidden="1" x14ac:dyDescent="0.25">
      <c r="A37" s="19">
        <v>20241610126872</v>
      </c>
      <c r="B37" t="s">
        <v>78</v>
      </c>
      <c r="C37" t="s">
        <v>70</v>
      </c>
      <c r="D37" s="7">
        <v>45497</v>
      </c>
      <c r="E37" t="s">
        <v>70</v>
      </c>
      <c r="F37" s="7">
        <v>45497</v>
      </c>
      <c r="H37" s="5" t="s">
        <v>33</v>
      </c>
      <c r="I37" s="12">
        <v>105000000</v>
      </c>
      <c r="J37" s="10"/>
      <c r="L37" t="s">
        <v>79</v>
      </c>
    </row>
    <row r="38" spans="1:12" x14ac:dyDescent="0.25">
      <c r="A38" s="19">
        <v>20241610141772</v>
      </c>
      <c r="B38" t="s">
        <v>80</v>
      </c>
      <c r="C38" t="s">
        <v>69</v>
      </c>
      <c r="D38" s="7">
        <v>45513</v>
      </c>
      <c r="E38" t="s">
        <v>70</v>
      </c>
      <c r="F38" s="7">
        <v>45541</v>
      </c>
      <c r="G38" t="s">
        <v>81</v>
      </c>
      <c r="H38" s="5" t="s">
        <v>33</v>
      </c>
      <c r="I38" s="14">
        <v>279402000</v>
      </c>
      <c r="J38" s="10"/>
    </row>
    <row r="39" spans="1:12" x14ac:dyDescent="0.25">
      <c r="A39" s="19">
        <v>20241610160262</v>
      </c>
      <c r="B39" t="s">
        <v>82</v>
      </c>
      <c r="C39" t="s">
        <v>69</v>
      </c>
      <c r="D39" s="7">
        <v>45505</v>
      </c>
      <c r="E39" t="s">
        <v>70</v>
      </c>
      <c r="F39" s="7">
        <v>45541</v>
      </c>
      <c r="H39" s="5" t="s">
        <v>33</v>
      </c>
      <c r="I39" s="14">
        <v>90000000</v>
      </c>
      <c r="J39" s="10"/>
    </row>
    <row r="40" spans="1:12" ht="15.6" customHeight="1" x14ac:dyDescent="0.25">
      <c r="A40" s="19">
        <v>20241610165822</v>
      </c>
      <c r="B40" t="s">
        <v>83</v>
      </c>
      <c r="C40" t="s">
        <v>84</v>
      </c>
      <c r="D40" s="7">
        <v>45497</v>
      </c>
      <c r="E40" t="s">
        <v>70</v>
      </c>
      <c r="F40" s="7">
        <v>45539</v>
      </c>
      <c r="H40" s="5" t="s">
        <v>36</v>
      </c>
      <c r="I40" s="14">
        <v>153836186</v>
      </c>
      <c r="J40" s="10"/>
    </row>
    <row r="41" spans="1:12" x14ac:dyDescent="0.25">
      <c r="A41" s="19">
        <v>20241610164032</v>
      </c>
      <c r="B41" t="s">
        <v>85</v>
      </c>
      <c r="C41" t="s">
        <v>86</v>
      </c>
      <c r="D41" s="7">
        <v>45503</v>
      </c>
      <c r="E41" t="s">
        <v>70</v>
      </c>
      <c r="F41" s="7">
        <v>45533</v>
      </c>
      <c r="H41" s="5" t="s">
        <v>36</v>
      </c>
      <c r="I41" s="12">
        <v>465650640</v>
      </c>
      <c r="J41" s="10"/>
    </row>
    <row r="42" spans="1:12" x14ac:dyDescent="0.25">
      <c r="A42" s="19">
        <v>20241610172882</v>
      </c>
      <c r="B42" t="s">
        <v>87</v>
      </c>
      <c r="C42" t="s">
        <v>84</v>
      </c>
      <c r="D42" s="7">
        <v>45504</v>
      </c>
      <c r="E42" t="s">
        <v>70</v>
      </c>
      <c r="F42" s="7">
        <v>45545</v>
      </c>
      <c r="H42" s="5" t="s">
        <v>36</v>
      </c>
      <c r="I42" s="14">
        <v>218692503</v>
      </c>
      <c r="J42" s="10"/>
    </row>
    <row r="43" spans="1:12" x14ac:dyDescent="0.25">
      <c r="A43" s="19">
        <v>20241610173952</v>
      </c>
      <c r="B43" t="s">
        <v>88</v>
      </c>
      <c r="C43" t="s">
        <v>84</v>
      </c>
      <c r="D43" s="7">
        <v>45504</v>
      </c>
      <c r="E43" t="s">
        <v>70</v>
      </c>
      <c r="F43" s="7">
        <v>45545</v>
      </c>
      <c r="H43" s="5" t="s">
        <v>33</v>
      </c>
      <c r="I43" s="12">
        <v>376783365</v>
      </c>
      <c r="J43" s="10"/>
    </row>
    <row r="44" spans="1:12" x14ac:dyDescent="0.25">
      <c r="A44" s="19">
        <v>20241610165792</v>
      </c>
      <c r="B44" t="s">
        <v>89</v>
      </c>
      <c r="C44" t="s">
        <v>69</v>
      </c>
      <c r="D44" s="7">
        <v>45516</v>
      </c>
      <c r="E44" t="s">
        <v>70</v>
      </c>
      <c r="F44" s="7">
        <v>45545</v>
      </c>
      <c r="H44" s="5" t="s">
        <v>36</v>
      </c>
      <c r="I44" s="14">
        <v>55478362</v>
      </c>
      <c r="J44" s="10"/>
    </row>
    <row r="45" spans="1:12" x14ac:dyDescent="0.25">
      <c r="A45" s="19">
        <v>20241610183392</v>
      </c>
      <c r="B45" s="9" t="s">
        <v>90</v>
      </c>
      <c r="C45" t="s">
        <v>84</v>
      </c>
      <c r="D45" s="7">
        <v>45513</v>
      </c>
      <c r="E45" t="s">
        <v>70</v>
      </c>
      <c r="F45" s="7">
        <v>45555</v>
      </c>
      <c r="H45" s="5" t="s">
        <v>33</v>
      </c>
      <c r="I45" s="14">
        <v>25715527</v>
      </c>
      <c r="J45" s="10"/>
    </row>
    <row r="46" spans="1:12" x14ac:dyDescent="0.25">
      <c r="A46" s="19">
        <v>20241610185452</v>
      </c>
      <c r="B46" t="s">
        <v>91</v>
      </c>
      <c r="C46" t="s">
        <v>84</v>
      </c>
      <c r="D46" s="7">
        <v>45150</v>
      </c>
      <c r="E46" t="s">
        <v>70</v>
      </c>
      <c r="F46" s="7">
        <v>45559</v>
      </c>
      <c r="H46" s="5" t="s">
        <v>33</v>
      </c>
      <c r="I46" s="14">
        <v>4011000000</v>
      </c>
      <c r="J46" s="10"/>
    </row>
    <row r="50" spans="1:1" ht="33" customHeight="1" x14ac:dyDescent="0.25">
      <c r="A50" s="42" t="s">
        <v>92</v>
      </c>
    </row>
  </sheetData>
  <dataValidations count="1">
    <dataValidation type="list" allowBlank="1" showInputMessage="1" showErrorMessage="1" sqref="E2:E24 E26:E32 C35 C2:C32" xr:uid="{45108A7A-E6F2-4C3E-98AD-E90CC01865C6}">
      <formula1>#REF!</formula1>
    </dataValidation>
  </dataValidations>
  <pageMargins left="0.7" right="0.7" top="0.75" bottom="0.75" header="0.3" footer="0.3"/>
  <pageSetup orientation="portrait" horizontalDpi="4294967293" r:id="rId1"/>
  <tableParts count="1">
    <tablePart r:id="rId2"/>
  </tableParts>
  <extLst>
    <ext xmlns:x14="http://schemas.microsoft.com/office/spreadsheetml/2009/9/main" uri="{CCE6A557-97BC-4b89-ADB6-D9C93CAAB3DF}">
      <x14:dataValidations xmlns:xm="http://schemas.microsoft.com/office/excel/2006/main" count="1">
        <x14:dataValidation type="list" showInputMessage="1" showErrorMessage="1" xr:uid="{BC6F3D70-54D0-48F0-8638-A66681DE16F7}">
          <x14:formula1>
            <xm:f>Hoja2!$A$1:$A$9</xm:f>
          </x14:formula1>
          <xm:sqref>C33:C34 E33:E34 C36:C44 E36:E46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A8D754-58B3-496B-B7F0-7199F9A8B7B8}">
  <sheetPr codeName="Hoja4"/>
  <dimension ref="A2:A9"/>
  <sheetViews>
    <sheetView workbookViewId="0">
      <selection activeCell="C19" sqref="C19"/>
    </sheetView>
  </sheetViews>
  <sheetFormatPr baseColWidth="10" defaultColWidth="11.42578125" defaultRowHeight="15" x14ac:dyDescent="0.25"/>
  <sheetData>
    <row r="2" spans="1:1" x14ac:dyDescent="0.25">
      <c r="A2" t="s">
        <v>84</v>
      </c>
    </row>
    <row r="3" spans="1:1" x14ac:dyDescent="0.25">
      <c r="A3" t="s">
        <v>69</v>
      </c>
    </row>
    <row r="4" spans="1:1" x14ac:dyDescent="0.25">
      <c r="A4" t="s">
        <v>86</v>
      </c>
    </row>
    <row r="5" spans="1:1" x14ac:dyDescent="0.25">
      <c r="A5" t="s">
        <v>73</v>
      </c>
    </row>
    <row r="6" spans="1:1" x14ac:dyDescent="0.25">
      <c r="A6" t="s">
        <v>74</v>
      </c>
    </row>
    <row r="7" spans="1:1" x14ac:dyDescent="0.25">
      <c r="A7" t="s">
        <v>93</v>
      </c>
    </row>
    <row r="8" spans="1:1" x14ac:dyDescent="0.25">
      <c r="A8" t="s">
        <v>70</v>
      </c>
    </row>
    <row r="9" spans="1:1" x14ac:dyDescent="0.25">
      <c r="A9" t="s">
        <v>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F2C4E2-1C50-4BFE-9E00-F96C0FC8D919}">
  <sheetPr codeName="Hoja5"/>
  <dimension ref="A1:I22"/>
  <sheetViews>
    <sheetView zoomScale="67" workbookViewId="0">
      <selection activeCell="E26" sqref="E26"/>
    </sheetView>
  </sheetViews>
  <sheetFormatPr baseColWidth="10" defaultColWidth="20.42578125" defaultRowHeight="15" x14ac:dyDescent="0.25"/>
  <cols>
    <col min="1" max="1" width="27.42578125" bestFit="1" customWidth="1"/>
    <col min="2" max="2" width="18.5703125" style="14" customWidth="1"/>
    <col min="3" max="3" width="18.5703125" customWidth="1"/>
    <col min="6" max="6" width="26.42578125" customWidth="1"/>
    <col min="8" max="8" width="27.42578125" customWidth="1"/>
  </cols>
  <sheetData>
    <row r="1" spans="1:9" x14ac:dyDescent="0.25">
      <c r="A1" s="31" t="s">
        <v>1</v>
      </c>
      <c r="B1" s="32" t="s">
        <v>95</v>
      </c>
      <c r="C1" s="31" t="s">
        <v>96</v>
      </c>
      <c r="D1" s="31" t="s">
        <v>97</v>
      </c>
      <c r="E1" s="31" t="s">
        <v>98</v>
      </c>
      <c r="F1" s="31" t="s">
        <v>99</v>
      </c>
      <c r="G1" s="31" t="s">
        <v>100</v>
      </c>
      <c r="H1" s="31" t="s">
        <v>101</v>
      </c>
      <c r="I1" s="31" t="s">
        <v>102</v>
      </c>
    </row>
    <row r="2" spans="1:9" x14ac:dyDescent="0.25">
      <c r="A2" t="s">
        <v>103</v>
      </c>
      <c r="B2" s="14">
        <f>2290000*(1+0.19)</f>
        <v>2725100</v>
      </c>
      <c r="C2" t="s">
        <v>104</v>
      </c>
      <c r="D2" t="s">
        <v>105</v>
      </c>
      <c r="E2" t="s">
        <v>106</v>
      </c>
      <c r="F2" s="28" t="s">
        <v>107</v>
      </c>
      <c r="G2" t="s">
        <v>79</v>
      </c>
      <c r="H2" s="1">
        <v>45341</v>
      </c>
    </row>
    <row r="3" spans="1:9" x14ac:dyDescent="0.25">
      <c r="A3" t="s">
        <v>108</v>
      </c>
      <c r="B3" s="14">
        <f>2150000*(1+0.19)</f>
        <v>2558500</v>
      </c>
      <c r="C3" t="s">
        <v>109</v>
      </c>
      <c r="D3" t="s">
        <v>105</v>
      </c>
      <c r="E3" t="s">
        <v>106</v>
      </c>
      <c r="F3" t="s">
        <v>107</v>
      </c>
      <c r="G3" t="s">
        <v>110</v>
      </c>
      <c r="H3" s="1">
        <v>45397</v>
      </c>
    </row>
    <row r="4" spans="1:9" x14ac:dyDescent="0.25">
      <c r="A4" t="s">
        <v>111</v>
      </c>
      <c r="B4" s="14">
        <v>3422147</v>
      </c>
      <c r="C4" t="s">
        <v>112</v>
      </c>
      <c r="D4" t="s">
        <v>105</v>
      </c>
      <c r="E4" t="s">
        <v>106</v>
      </c>
      <c r="F4" t="s">
        <v>107</v>
      </c>
      <c r="G4" t="s">
        <v>79</v>
      </c>
      <c r="H4" s="1">
        <v>45400</v>
      </c>
    </row>
    <row r="5" spans="1:9" x14ac:dyDescent="0.25">
      <c r="A5" t="s">
        <v>113</v>
      </c>
      <c r="B5" s="14">
        <v>2618000</v>
      </c>
      <c r="C5" t="s">
        <v>114</v>
      </c>
      <c r="D5" t="s">
        <v>105</v>
      </c>
      <c r="E5" t="s">
        <v>106</v>
      </c>
      <c r="F5" t="s">
        <v>107</v>
      </c>
      <c r="G5" t="s">
        <v>79</v>
      </c>
      <c r="H5" s="1">
        <v>45436</v>
      </c>
    </row>
    <row r="6" spans="1:9" x14ac:dyDescent="0.25">
      <c r="A6" t="s">
        <v>115</v>
      </c>
      <c r="B6" s="14">
        <v>2618000</v>
      </c>
      <c r="C6" t="s">
        <v>116</v>
      </c>
      <c r="D6" t="s">
        <v>105</v>
      </c>
      <c r="E6" t="s">
        <v>106</v>
      </c>
      <c r="F6" t="s">
        <v>107</v>
      </c>
      <c r="G6" t="s">
        <v>79</v>
      </c>
      <c r="H6" s="1">
        <v>45484</v>
      </c>
    </row>
    <row r="7" spans="1:9" x14ac:dyDescent="0.25">
      <c r="A7" t="s">
        <v>76</v>
      </c>
      <c r="B7" s="14">
        <v>2558500</v>
      </c>
      <c r="C7" t="s">
        <v>117</v>
      </c>
      <c r="D7" t="s">
        <v>105</v>
      </c>
      <c r="E7" t="s">
        <v>106</v>
      </c>
      <c r="F7" t="s">
        <v>107</v>
      </c>
      <c r="G7" t="s">
        <v>79</v>
      </c>
      <c r="H7" s="1">
        <v>45421</v>
      </c>
    </row>
    <row r="8" spans="1:9" x14ac:dyDescent="0.25">
      <c r="A8" t="s">
        <v>78</v>
      </c>
      <c r="B8" s="14">
        <v>2082500</v>
      </c>
      <c r="C8" t="s">
        <v>118</v>
      </c>
      <c r="D8" t="s">
        <v>105</v>
      </c>
      <c r="E8" t="s">
        <v>106</v>
      </c>
      <c r="F8" t="s">
        <v>107</v>
      </c>
      <c r="G8" t="s">
        <v>79</v>
      </c>
      <c r="H8" s="1">
        <v>45436</v>
      </c>
    </row>
    <row r="9" spans="1:9" x14ac:dyDescent="0.25">
      <c r="A9" t="s">
        <v>119</v>
      </c>
      <c r="B9" s="14">
        <v>3094000</v>
      </c>
      <c r="C9" t="s">
        <v>120</v>
      </c>
      <c r="D9" t="s">
        <v>105</v>
      </c>
      <c r="E9" t="s">
        <v>106</v>
      </c>
      <c r="F9" t="s">
        <v>107</v>
      </c>
      <c r="G9" t="s">
        <v>79</v>
      </c>
      <c r="H9" s="1">
        <v>45484</v>
      </c>
    </row>
    <row r="10" spans="1:9" x14ac:dyDescent="0.25">
      <c r="A10" t="s">
        <v>121</v>
      </c>
      <c r="B10" s="14">
        <v>1547000</v>
      </c>
      <c r="C10" t="s">
        <v>122</v>
      </c>
      <c r="D10" t="s">
        <v>105</v>
      </c>
      <c r="E10" t="s">
        <v>106</v>
      </c>
      <c r="F10" t="s">
        <v>107</v>
      </c>
      <c r="G10" t="s">
        <v>79</v>
      </c>
      <c r="H10" s="1">
        <v>45436</v>
      </c>
    </row>
    <row r="11" spans="1:9" x14ac:dyDescent="0.25">
      <c r="A11" t="s">
        <v>83</v>
      </c>
      <c r="B11" s="14">
        <v>1666000</v>
      </c>
      <c r="C11" t="s">
        <v>123</v>
      </c>
      <c r="D11" t="s">
        <v>105</v>
      </c>
      <c r="E11" t="s">
        <v>106</v>
      </c>
      <c r="F11" t="s">
        <v>107</v>
      </c>
      <c r="G11" t="s">
        <v>79</v>
      </c>
      <c r="H11" s="1">
        <v>45484</v>
      </c>
    </row>
    <row r="12" spans="1:9" x14ac:dyDescent="0.25">
      <c r="A12" t="s">
        <v>124</v>
      </c>
      <c r="B12" s="14">
        <v>2994040</v>
      </c>
      <c r="C12" t="s">
        <v>125</v>
      </c>
      <c r="D12" t="s">
        <v>105</v>
      </c>
      <c r="E12" t="s">
        <v>106</v>
      </c>
      <c r="F12" t="s">
        <v>107</v>
      </c>
      <c r="G12" t="s">
        <v>79</v>
      </c>
      <c r="H12" s="1">
        <v>45482</v>
      </c>
    </row>
    <row r="13" spans="1:9" x14ac:dyDescent="0.25">
      <c r="A13" t="s">
        <v>82</v>
      </c>
      <c r="B13" s="14">
        <v>1904000</v>
      </c>
      <c r="C13" t="s">
        <v>126</v>
      </c>
      <c r="D13" t="s">
        <v>105</v>
      </c>
      <c r="E13" t="s">
        <v>106</v>
      </c>
      <c r="F13" t="s">
        <v>107</v>
      </c>
      <c r="I13" t="s">
        <v>127</v>
      </c>
    </row>
    <row r="14" spans="1:9" x14ac:dyDescent="0.25">
      <c r="A14" t="s">
        <v>85</v>
      </c>
      <c r="B14" s="14">
        <f>2700000*(1+0.19)</f>
        <v>3213000</v>
      </c>
      <c r="C14" t="s">
        <v>128</v>
      </c>
    </row>
    <row r="15" spans="1:9" x14ac:dyDescent="0.25">
      <c r="A15" t="s">
        <v>89</v>
      </c>
      <c r="B15" s="14">
        <v>2023000</v>
      </c>
      <c r="C15" t="s">
        <v>129</v>
      </c>
      <c r="D15" t="s">
        <v>105</v>
      </c>
      <c r="E15" t="s">
        <v>106</v>
      </c>
      <c r="F15" t="s">
        <v>107</v>
      </c>
    </row>
    <row r="16" spans="1:9" x14ac:dyDescent="0.25">
      <c r="A16" t="s">
        <v>88</v>
      </c>
      <c r="B16" s="14">
        <f>2600000*1.19</f>
        <v>3094000</v>
      </c>
      <c r="C16" t="s">
        <v>130</v>
      </c>
    </row>
    <row r="17" spans="1:9" x14ac:dyDescent="0.25">
      <c r="A17" t="s">
        <v>131</v>
      </c>
      <c r="B17" s="14">
        <f>5300000*1.19</f>
        <v>6307000</v>
      </c>
      <c r="C17" t="s">
        <v>132</v>
      </c>
    </row>
    <row r="18" spans="1:9" x14ac:dyDescent="0.25">
      <c r="A18" t="s">
        <v>133</v>
      </c>
    </row>
    <row r="19" spans="1:9" x14ac:dyDescent="0.25">
      <c r="A19" t="s">
        <v>134</v>
      </c>
    </row>
    <row r="20" spans="1:9" x14ac:dyDescent="0.25">
      <c r="A20" t="s">
        <v>135</v>
      </c>
    </row>
    <row r="21" spans="1:9" x14ac:dyDescent="0.25">
      <c r="A21" t="s">
        <v>136</v>
      </c>
    </row>
    <row r="22" spans="1:9" x14ac:dyDescent="0.25">
      <c r="A22" t="s">
        <v>137</v>
      </c>
      <c r="B22" s="14">
        <f>1300000*(1.19)</f>
        <v>1547000</v>
      </c>
      <c r="C22" t="s">
        <v>138</v>
      </c>
      <c r="D22" t="s">
        <v>139</v>
      </c>
      <c r="I22" t="s">
        <v>127</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C5B905-8EE3-4C25-A56F-C6B5EA65D245}">
  <sheetPr codeName="Hoja6"/>
  <dimension ref="A1:U34"/>
  <sheetViews>
    <sheetView showGridLines="0" topLeftCell="A10" zoomScale="85" zoomScaleNormal="85" workbookViewId="0">
      <selection activeCell="C10" sqref="C10"/>
    </sheetView>
  </sheetViews>
  <sheetFormatPr baseColWidth="10" defaultColWidth="0" defaultRowHeight="15" zeroHeight="1" x14ac:dyDescent="0.25"/>
  <cols>
    <col min="1" max="1" width="4.140625" style="18" customWidth="1"/>
    <col min="2" max="2" width="25.28515625" style="18" bestFit="1" customWidth="1"/>
    <col min="3" max="3" width="17.28515625" style="18" bestFit="1" customWidth="1"/>
    <col min="4" max="4" width="27.42578125" style="18" bestFit="1" customWidth="1"/>
    <col min="5" max="5" width="29.28515625" style="18" bestFit="1" customWidth="1"/>
    <col min="6" max="6" width="33.7109375" style="18" bestFit="1" customWidth="1"/>
    <col min="7" max="7" width="6.5703125" style="18" customWidth="1"/>
    <col min="8" max="8" width="11.42578125" style="18" hidden="1" customWidth="1"/>
    <col min="9" max="21" width="0" style="18" hidden="1" customWidth="1"/>
    <col min="22" max="16384" width="11.42578125" style="18" hidden="1"/>
  </cols>
  <sheetData>
    <row r="1" spans="1:19" x14ac:dyDescent="0.25"/>
    <row r="2" spans="1:19" x14ac:dyDescent="0.25"/>
    <row r="3" spans="1:19" ht="15.75" thickBot="1" x14ac:dyDescent="0.3"/>
    <row r="4" spans="1:19" s="58" customFormat="1" ht="19.5" thickBot="1" x14ac:dyDescent="0.3">
      <c r="A4" s="59"/>
      <c r="B4" s="59" t="s">
        <v>140</v>
      </c>
      <c r="C4" s="60"/>
      <c r="D4" s="60"/>
      <c r="E4" s="60"/>
      <c r="F4" s="60"/>
      <c r="G4" s="61"/>
      <c r="H4" s="265"/>
      <c r="I4" s="265"/>
      <c r="J4" s="265"/>
      <c r="K4" s="266"/>
      <c r="L4" s="266"/>
      <c r="M4" s="266"/>
      <c r="N4" s="265"/>
      <c r="O4" s="265"/>
      <c r="P4" s="265"/>
      <c r="Q4" s="265"/>
      <c r="R4" s="265"/>
      <c r="S4" s="265"/>
    </row>
    <row r="5" spans="1:19" x14ac:dyDescent="0.25"/>
    <row r="6" spans="1:19" ht="15.75" x14ac:dyDescent="0.25">
      <c r="B6" s="51"/>
      <c r="C6" s="51" t="s">
        <v>141</v>
      </c>
      <c r="F6" s="51" t="s">
        <v>141</v>
      </c>
    </row>
    <row r="7" spans="1:19" ht="15.75" x14ac:dyDescent="0.25">
      <c r="B7" s="52" t="s">
        <v>142</v>
      </c>
      <c r="C7" s="65">
        <f>+SUM(C8:C11)</f>
        <v>489</v>
      </c>
      <c r="E7" s="52" t="s">
        <v>143</v>
      </c>
      <c r="F7" s="57">
        <f>+COUNTIF(EstadoSolicitudes[Aprobado OR],'0 RESUMEN'!E7)</f>
        <v>3</v>
      </c>
    </row>
    <row r="8" spans="1:19" ht="15.75" x14ac:dyDescent="0.25">
      <c r="B8" s="52" t="s">
        <v>144</v>
      </c>
      <c r="C8" s="5">
        <f>+COUNTIF(EstadoSolicitudes[Etapa],'0 RESUMEN'!B8)</f>
        <v>338</v>
      </c>
      <c r="E8" s="52" t="s">
        <v>145</v>
      </c>
      <c r="F8" s="57">
        <f>+COUNTIF(EstadoSolicitudes[Aprobado OR],'0 RESUMEN'!E8)</f>
        <v>171</v>
      </c>
    </row>
    <row r="9" spans="1:19" ht="15.75" x14ac:dyDescent="0.25">
      <c r="B9" s="52" t="s">
        <v>146</v>
      </c>
      <c r="C9" s="5">
        <f>+COUNTIF(EstadoSolicitudes[Etapa],'0 RESUMEN'!B9)</f>
        <v>29</v>
      </c>
      <c r="E9" s="52" t="s">
        <v>147</v>
      </c>
      <c r="F9" s="57">
        <f>+COUNTIF(EstadoSolicitudes[Aprobado OR],'0 RESUMEN'!E9)</f>
        <v>7</v>
      </c>
    </row>
    <row r="10" spans="1:19" ht="15.75" x14ac:dyDescent="0.25">
      <c r="B10" s="52" t="s">
        <v>13</v>
      </c>
      <c r="C10" s="5">
        <f>+COUNTIF(EstadoSolicitudes[Etapa],'0 RESUMEN'!B10)</f>
        <v>3</v>
      </c>
      <c r="E10" s="52" t="s">
        <v>148</v>
      </c>
      <c r="F10" s="57">
        <f>+COUNTIF(EstadoSolicitudes[Aprobado OR],'0 RESUMEN'!E10)</f>
        <v>17</v>
      </c>
    </row>
    <row r="11" spans="1:19" ht="15.75" x14ac:dyDescent="0.25">
      <c r="B11" s="52" t="s">
        <v>149</v>
      </c>
      <c r="C11" s="5">
        <f>+COUNTIF(EstadoSolicitudes[Etapa],'0 RESUMEN'!B11)</f>
        <v>119</v>
      </c>
    </row>
    <row r="12" spans="1:19" ht="15.75" thickBot="1" x14ac:dyDescent="0.3"/>
    <row r="13" spans="1:19" s="58" customFormat="1" ht="19.5" thickBot="1" x14ac:dyDescent="0.3">
      <c r="A13" s="59"/>
      <c r="B13" s="59" t="s">
        <v>150</v>
      </c>
      <c r="C13" s="60"/>
      <c r="D13" s="60"/>
      <c r="E13" s="60"/>
      <c r="F13" s="60"/>
      <c r="G13" s="61"/>
      <c r="H13" s="265"/>
      <c r="I13" s="265"/>
      <c r="J13" s="265"/>
      <c r="K13" s="266"/>
      <c r="L13" s="266"/>
      <c r="M13" s="266"/>
      <c r="N13" s="265"/>
      <c r="O13" s="265"/>
      <c r="P13" s="265"/>
      <c r="Q13" s="265"/>
      <c r="R13" s="265"/>
      <c r="S13" s="265"/>
    </row>
    <row r="14" spans="1:19" ht="18.75" x14ac:dyDescent="0.25">
      <c r="B14" s="62"/>
      <c r="H14" s="54"/>
      <c r="I14" s="54"/>
      <c r="J14" s="54"/>
      <c r="K14" s="55"/>
      <c r="L14" s="55"/>
      <c r="M14" s="55"/>
      <c r="N14" s="54"/>
      <c r="O14" s="54"/>
      <c r="P14" s="54"/>
      <c r="Q14" s="54"/>
      <c r="R14" s="54"/>
      <c r="S14" s="54"/>
    </row>
    <row r="15" spans="1:19" ht="15.75" x14ac:dyDescent="0.25">
      <c r="B15" s="51"/>
      <c r="C15" s="51" t="s">
        <v>141</v>
      </c>
      <c r="D15" s="52" t="s">
        <v>144</v>
      </c>
      <c r="E15" s="52" t="s">
        <v>146</v>
      </c>
      <c r="F15" s="52" t="s">
        <v>13</v>
      </c>
    </row>
    <row r="16" spans="1:19" ht="15.75" x14ac:dyDescent="0.25">
      <c r="B16" s="52" t="s">
        <v>151</v>
      </c>
      <c r="C16" s="63">
        <f>IF(SUM(D16:F16)=0,"",SUM(D16:F16))</f>
        <v>64</v>
      </c>
      <c r="D16" s="63">
        <f>IF((COUNTIFS(EstadoSolicitudes[OR],'0 RESUMEN'!B16,EstadoSolicitudes[Etapa],'0 RESUMEN'!$D$15))=0,"",(COUNTIFS(EstadoSolicitudes[OR],'0 RESUMEN'!B16,EstadoSolicitudes[Etapa],'0 RESUMEN'!$D$15)))</f>
        <v>54</v>
      </c>
      <c r="E16" s="63">
        <f>IF((COUNTIFS(EstadoSolicitudes[OR],'0 RESUMEN'!B16,EstadoSolicitudes[Etapa],'0 RESUMEN'!$E$15))=0,"",(COUNTIFS(EstadoSolicitudes[OR],'0 RESUMEN'!B16,EstadoSolicitudes[Etapa],'0 RESUMEN'!$E$15)))</f>
        <v>9</v>
      </c>
      <c r="F16" s="63">
        <f>IF((COUNTIFS(EstadoSolicitudes[OR],'0 RESUMEN'!B16,EstadoSolicitudes[Etapa],'0 RESUMEN'!$F$15))=0,"",(COUNTIFS(EstadoSolicitudes[OR],'0 RESUMEN'!B16,EstadoSolicitudes[Etapa],'0 RESUMEN'!$F$15)))</f>
        <v>1</v>
      </c>
    </row>
    <row r="17" spans="1:19" ht="15.75" x14ac:dyDescent="0.25">
      <c r="B17" s="52" t="s">
        <v>152</v>
      </c>
      <c r="C17" s="63" t="str">
        <f t="shared" ref="C17:C25" si="0">IF(SUM(D17:F17)=0,"",SUM(D17:F17))</f>
        <v/>
      </c>
      <c r="D17" s="63" t="str">
        <f>IF((COUNTIFS(EstadoSolicitudes[OR],'0 RESUMEN'!B17,EstadoSolicitudes[Etapa],'0 RESUMEN'!$D$15))=0,"",(COUNTIFS(EstadoSolicitudes[OR],'0 RESUMEN'!B17,EstadoSolicitudes[Etapa],'0 RESUMEN'!$D$15)))</f>
        <v/>
      </c>
      <c r="E17" s="63" t="str">
        <f>IF((COUNTIFS(EstadoSolicitudes[OR],'0 RESUMEN'!B17,EstadoSolicitudes[Etapa],'0 RESUMEN'!$E$15))=0,"",(COUNTIFS(EstadoSolicitudes[OR],'0 RESUMEN'!B17,EstadoSolicitudes[Etapa],'0 RESUMEN'!$E$15)))</f>
        <v/>
      </c>
      <c r="F17" s="63" t="str">
        <f>IF((COUNTIFS(EstadoSolicitudes[OR],'0 RESUMEN'!B17,EstadoSolicitudes[Etapa],'0 RESUMEN'!$F$15))=0,"",(COUNTIFS(EstadoSolicitudes[OR],'0 RESUMEN'!B17,EstadoSolicitudes[Etapa],'0 RESUMEN'!$F$15)))</f>
        <v/>
      </c>
    </row>
    <row r="18" spans="1:19" ht="15.75" x14ac:dyDescent="0.25">
      <c r="B18" s="52" t="s">
        <v>153</v>
      </c>
      <c r="C18" s="63">
        <f>IF(SUM(D18:F18)=0,"",SUM(D18:F18))</f>
        <v>88</v>
      </c>
      <c r="D18" s="63">
        <f>IF((COUNTIFS(EstadoSolicitudes[OR],'0 RESUMEN'!B18,EstadoSolicitudes[Etapa],'0 RESUMEN'!$D$15))=0,"",(COUNTIFS(EstadoSolicitudes[OR],'0 RESUMEN'!B18,EstadoSolicitudes[Etapa],'0 RESUMEN'!$D$15)))</f>
        <v>83</v>
      </c>
      <c r="E18" s="63">
        <f>IF((COUNTIFS(EstadoSolicitudes[OR],'0 RESUMEN'!B18,EstadoSolicitudes[Etapa],'0 RESUMEN'!$E$15))=0,"",(COUNTIFS(EstadoSolicitudes[OR],'0 RESUMEN'!B18,EstadoSolicitudes[Etapa],'0 RESUMEN'!$E$15)))</f>
        <v>3</v>
      </c>
      <c r="F18" s="63">
        <f>IF((COUNTIFS(EstadoSolicitudes[OR],'0 RESUMEN'!B18,EstadoSolicitudes[Etapa],'0 RESUMEN'!$F$15))=0,"",(COUNTIFS(EstadoSolicitudes[OR],'0 RESUMEN'!B18,EstadoSolicitudes[Etapa],'0 RESUMEN'!$F$15)))</f>
        <v>2</v>
      </c>
    </row>
    <row r="19" spans="1:19" ht="15.75" x14ac:dyDescent="0.25">
      <c r="B19" s="52" t="s">
        <v>154</v>
      </c>
      <c r="C19" s="63">
        <f t="shared" si="0"/>
        <v>25</v>
      </c>
      <c r="D19" s="63">
        <f>IF((COUNTIFS(EstadoSolicitudes[OR],'0 RESUMEN'!B19,EstadoSolicitudes[Etapa],'0 RESUMEN'!$D$15))=0,"",(COUNTIFS(EstadoSolicitudes[OR],'0 RESUMEN'!B19,EstadoSolicitudes[Etapa],'0 RESUMEN'!$D$15)))</f>
        <v>17</v>
      </c>
      <c r="E19" s="63">
        <f>IF((COUNTIFS(EstadoSolicitudes[OR],'0 RESUMEN'!B19,EstadoSolicitudes[Etapa],'0 RESUMEN'!$E$15))=0,"",(COUNTIFS(EstadoSolicitudes[OR],'0 RESUMEN'!B19,EstadoSolicitudes[Etapa],'0 RESUMEN'!$E$15)))</f>
        <v>8</v>
      </c>
      <c r="F19" s="63" t="str">
        <f>IF((COUNTIFS(EstadoSolicitudes[OR],'0 RESUMEN'!B19,EstadoSolicitudes[Etapa],'0 RESUMEN'!$F$15))=0,"",(COUNTIFS(EstadoSolicitudes[OR],'0 RESUMEN'!B19,EstadoSolicitudes[Etapa],'0 RESUMEN'!$F$15)))</f>
        <v/>
      </c>
    </row>
    <row r="20" spans="1:19" ht="15.75" x14ac:dyDescent="0.25">
      <c r="B20" s="52" t="s">
        <v>155</v>
      </c>
      <c r="C20" s="63">
        <f t="shared" si="0"/>
        <v>43</v>
      </c>
      <c r="D20" s="63">
        <f>IF((COUNTIFS(EstadoSolicitudes[OR],'0 RESUMEN'!B20,EstadoSolicitudes[Etapa],'0 RESUMEN'!$D$15))=0,"",(COUNTIFS(EstadoSolicitudes[OR],'0 RESUMEN'!B20,EstadoSolicitudes[Etapa],'0 RESUMEN'!$D$15)))</f>
        <v>36</v>
      </c>
      <c r="E20" s="63">
        <f>IF((COUNTIFS(EstadoSolicitudes[OR],'0 RESUMEN'!B20,EstadoSolicitudes[Etapa],'0 RESUMEN'!$E$15))=0,"",(COUNTIFS(EstadoSolicitudes[OR],'0 RESUMEN'!B20,EstadoSolicitudes[Etapa],'0 RESUMEN'!$E$15)))</f>
        <v>7</v>
      </c>
      <c r="F20" s="63" t="str">
        <f>IF((COUNTIFS(EstadoSolicitudes[OR],'0 RESUMEN'!B20,EstadoSolicitudes[Etapa],'0 RESUMEN'!$F$15))=0,"",(COUNTIFS(EstadoSolicitudes[OR],'0 RESUMEN'!B20,EstadoSolicitudes[Etapa],'0 RESUMEN'!$F$15)))</f>
        <v/>
      </c>
    </row>
    <row r="21" spans="1:19" ht="15.75" x14ac:dyDescent="0.25">
      <c r="B21" s="52" t="s">
        <v>156</v>
      </c>
      <c r="C21" s="63">
        <f t="shared" si="0"/>
        <v>5</v>
      </c>
      <c r="D21" s="63">
        <f>IF((COUNTIFS(EstadoSolicitudes[OR],'0 RESUMEN'!B21,EstadoSolicitudes[Etapa],'0 RESUMEN'!$D$15))=0,"",(COUNTIFS(EstadoSolicitudes[OR],'0 RESUMEN'!B21,EstadoSolicitudes[Etapa],'0 RESUMEN'!$D$15)))</f>
        <v>5</v>
      </c>
      <c r="E21" s="63" t="str">
        <f>IF((COUNTIFS(EstadoSolicitudes[OR],'0 RESUMEN'!B21,EstadoSolicitudes[Etapa],'0 RESUMEN'!$E$15))=0,"",(COUNTIFS(EstadoSolicitudes[OR],'0 RESUMEN'!B21,EstadoSolicitudes[Etapa],'0 RESUMEN'!$E$15)))</f>
        <v/>
      </c>
      <c r="F21" s="63" t="str">
        <f>IF((COUNTIFS(EstadoSolicitudes[OR],'0 RESUMEN'!B21,EstadoSolicitudes[Etapa],'0 RESUMEN'!$F$15))=0,"",(COUNTIFS(EstadoSolicitudes[OR],'0 RESUMEN'!B21,EstadoSolicitudes[Etapa],'0 RESUMEN'!$F$15)))</f>
        <v/>
      </c>
    </row>
    <row r="22" spans="1:19" ht="15.75" x14ac:dyDescent="0.25">
      <c r="B22" s="52" t="s">
        <v>157</v>
      </c>
      <c r="C22" s="63">
        <f t="shared" si="0"/>
        <v>3</v>
      </c>
      <c r="D22" s="63">
        <f>IF((COUNTIFS(EstadoSolicitudes[OR],'0 RESUMEN'!B22,EstadoSolicitudes[Etapa],'0 RESUMEN'!$D$15))=0,"",(COUNTIFS(EstadoSolicitudes[OR],'0 RESUMEN'!B22,EstadoSolicitudes[Etapa],'0 RESUMEN'!$D$15)))</f>
        <v>3</v>
      </c>
      <c r="E22" s="63" t="str">
        <f>IF((COUNTIFS(EstadoSolicitudes[OR],'0 RESUMEN'!B22,EstadoSolicitudes[Etapa],'0 RESUMEN'!$E$15))=0,"",(COUNTIFS(EstadoSolicitudes[OR],'0 RESUMEN'!B22,EstadoSolicitudes[Etapa],'0 RESUMEN'!$E$15)))</f>
        <v/>
      </c>
      <c r="F22" s="63" t="str">
        <f>IF((COUNTIFS(EstadoSolicitudes[OR],'0 RESUMEN'!B22,EstadoSolicitudes[Etapa],'0 RESUMEN'!$F$15))=0,"",(COUNTIFS(EstadoSolicitudes[OR],'0 RESUMEN'!B22,EstadoSolicitudes[Etapa],'0 RESUMEN'!$F$15)))</f>
        <v/>
      </c>
    </row>
    <row r="23" spans="1:19" ht="15.75" x14ac:dyDescent="0.25">
      <c r="B23" s="52" t="s">
        <v>158</v>
      </c>
      <c r="C23" s="63">
        <f t="shared" si="0"/>
        <v>16</v>
      </c>
      <c r="D23" s="63">
        <f>IF((COUNTIFS(EstadoSolicitudes[OR],'0 RESUMEN'!B23,EstadoSolicitudes[Etapa],'0 RESUMEN'!$D$15))=0,"",(COUNTIFS(EstadoSolicitudes[OR],'0 RESUMEN'!B23,EstadoSolicitudes[Etapa],'0 RESUMEN'!$D$15)))</f>
        <v>16</v>
      </c>
      <c r="E23" s="63" t="str">
        <f>IF((COUNTIFS(EstadoSolicitudes[OR],'0 RESUMEN'!B23,EstadoSolicitudes[Etapa],'0 RESUMEN'!$E$15))=0,"",(COUNTIFS(EstadoSolicitudes[OR],'0 RESUMEN'!B23,EstadoSolicitudes[Etapa],'0 RESUMEN'!$E$15)))</f>
        <v/>
      </c>
      <c r="F23" s="63" t="str">
        <f>IF((COUNTIFS(EstadoSolicitudes[OR],'0 RESUMEN'!B23,EstadoSolicitudes[Etapa],'0 RESUMEN'!$F$15))=0,"",(COUNTIFS(EstadoSolicitudes[OR],'0 RESUMEN'!B23,EstadoSolicitudes[Etapa],'0 RESUMEN'!$F$15)))</f>
        <v/>
      </c>
    </row>
    <row r="24" spans="1:19" ht="15.75" x14ac:dyDescent="0.25">
      <c r="B24" s="52" t="s">
        <v>159</v>
      </c>
      <c r="C24" s="63">
        <f t="shared" si="0"/>
        <v>28</v>
      </c>
      <c r="D24" s="63">
        <f>IF((COUNTIFS(EstadoSolicitudes[OR],'0 RESUMEN'!B24,EstadoSolicitudes[Etapa],'0 RESUMEN'!$D$15))=0,"",(COUNTIFS(EstadoSolicitudes[OR],'0 RESUMEN'!B24,EstadoSolicitudes[Etapa],'0 RESUMEN'!$D$15)))</f>
        <v>27</v>
      </c>
      <c r="E24" s="63">
        <f>IF((COUNTIFS(EstadoSolicitudes[OR],'0 RESUMEN'!B24,EstadoSolicitudes[Etapa],'0 RESUMEN'!$E$15))=0,"",(COUNTIFS(EstadoSolicitudes[OR],'0 RESUMEN'!B24,EstadoSolicitudes[Etapa],'0 RESUMEN'!$E$15)))</f>
        <v>1</v>
      </c>
      <c r="F24" s="63" t="str">
        <f>IF((COUNTIFS(EstadoSolicitudes[OR],'0 RESUMEN'!B24,EstadoSolicitudes[Etapa],'0 RESUMEN'!$F$15))=0,"",(COUNTIFS(EstadoSolicitudes[OR],'0 RESUMEN'!B24,EstadoSolicitudes[Etapa],'0 RESUMEN'!$F$15)))</f>
        <v/>
      </c>
    </row>
    <row r="25" spans="1:19" ht="15.75" x14ac:dyDescent="0.25">
      <c r="B25" s="52" t="s">
        <v>160</v>
      </c>
      <c r="C25" s="63">
        <f t="shared" si="0"/>
        <v>9</v>
      </c>
      <c r="D25" s="63">
        <f>IF((COUNTIFS(EstadoSolicitudes[OR],'0 RESUMEN'!B25,EstadoSolicitudes[Etapa],'0 RESUMEN'!$D$15))=0,"",(COUNTIFS(EstadoSolicitudes[OR],'0 RESUMEN'!B25,EstadoSolicitudes[Etapa],'0 RESUMEN'!$D$15)))</f>
        <v>9</v>
      </c>
      <c r="E25" s="63" t="str">
        <f>IF((COUNTIFS(EstadoSolicitudes[OR],'0 RESUMEN'!B25,EstadoSolicitudes[Etapa],'0 RESUMEN'!$E$15))=0,"",(COUNTIFS(EstadoSolicitudes[OR],'0 RESUMEN'!B25,EstadoSolicitudes[Etapa],'0 RESUMEN'!$E$15)))</f>
        <v/>
      </c>
      <c r="F25" s="63" t="str">
        <f>IF((COUNTIFS(EstadoSolicitudes[OR],'0 RESUMEN'!B25,EstadoSolicitudes[Etapa],'0 RESUMEN'!$F$15))=0,"",(COUNTIFS(EstadoSolicitudes[OR],'0 RESUMEN'!B25,EstadoSolicitudes[Etapa],'0 RESUMEN'!$F$15)))</f>
        <v/>
      </c>
    </row>
    <row r="26" spans="1:19" ht="15.75" x14ac:dyDescent="0.25">
      <c r="B26" s="52" t="s">
        <v>161</v>
      </c>
      <c r="C26" s="63">
        <f>IF(SUM(D26:F26)=0,"",SUM(D26:F26))</f>
        <v>52</v>
      </c>
      <c r="D26" s="63">
        <f>IF((COUNTIFS(EstadoSolicitudes[OR],'0 RESUMEN'!B26,EstadoSolicitudes[Etapa],'0 RESUMEN'!$D$15))=0,"",(COUNTIFS(EstadoSolicitudes[OR],'0 RESUMEN'!B26,EstadoSolicitudes[Etapa],'0 RESUMEN'!$D$15)))</f>
        <v>51</v>
      </c>
      <c r="E26" s="63">
        <f>IF((COUNTIFS(EstadoSolicitudes[OR],'0 RESUMEN'!B26,EstadoSolicitudes[Etapa],'0 RESUMEN'!$E$15))=0,"",(COUNTIFS(EstadoSolicitudes[OR],'0 RESUMEN'!B26,EstadoSolicitudes[Etapa],'0 RESUMEN'!$E$15)))</f>
        <v>1</v>
      </c>
      <c r="F26" s="63" t="str">
        <f>IF((COUNTIFS(EstadoSolicitudes[OR],'0 RESUMEN'!B26,EstadoSolicitudes[Etapa],'0 RESUMEN'!$F$15))=0,"",(COUNTIFS(EstadoSolicitudes[OR],'0 RESUMEN'!B26,EstadoSolicitudes[Etapa],'0 RESUMEN'!$F$15)))</f>
        <v/>
      </c>
    </row>
    <row r="27" spans="1:19" ht="15.75" thickBot="1" x14ac:dyDescent="0.3"/>
    <row r="28" spans="1:19" s="58" customFormat="1" ht="19.5" thickBot="1" x14ac:dyDescent="0.3">
      <c r="A28" s="59"/>
      <c r="B28" s="59" t="s">
        <v>162</v>
      </c>
      <c r="C28" s="60"/>
      <c r="D28" s="60"/>
      <c r="E28" s="60"/>
      <c r="F28" s="60"/>
      <c r="G28" s="61"/>
      <c r="H28" s="265"/>
      <c r="I28" s="265"/>
      <c r="J28" s="265"/>
      <c r="K28" s="266"/>
      <c r="L28" s="266"/>
      <c r="M28" s="266"/>
      <c r="N28" s="265"/>
      <c r="O28" s="265"/>
      <c r="P28" s="265"/>
      <c r="Q28" s="265"/>
      <c r="R28" s="265"/>
      <c r="S28" s="265"/>
    </row>
    <row r="29" spans="1:19" x14ac:dyDescent="0.25"/>
    <row r="30" spans="1:19" ht="15.75" x14ac:dyDescent="0.25">
      <c r="B30" s="51" t="s">
        <v>163</v>
      </c>
      <c r="C30" s="51" t="s">
        <v>164</v>
      </c>
      <c r="F30" s="51"/>
    </row>
    <row r="31" spans="1:19" ht="15.75" x14ac:dyDescent="0.25">
      <c r="B31" s="52" t="s">
        <v>165</v>
      </c>
      <c r="C31" s="5">
        <f>+COUNTIF(EstadoSolicitudes[Elabora estudio],'0 RESUMEN'!B31)</f>
        <v>7</v>
      </c>
      <c r="E31" s="52"/>
      <c r="F31" s="57"/>
    </row>
    <row r="32" spans="1:19" ht="15.75" x14ac:dyDescent="0.25">
      <c r="B32" s="52" t="s">
        <v>166</v>
      </c>
      <c r="C32" s="5">
        <f>+COUNTIF(EstadoSolicitudes[Elabora estudio],'0 RESUMEN'!B32)</f>
        <v>31</v>
      </c>
    </row>
    <row r="33" spans="2:3" ht="15.75" x14ac:dyDescent="0.25">
      <c r="B33" s="52" t="s">
        <v>167</v>
      </c>
      <c r="C33" s="5">
        <f>+COUNTIF(EstadoSolicitudes[Elabora estudio],'0 RESUMEN'!B33)</f>
        <v>1</v>
      </c>
    </row>
    <row r="34" spans="2:3" x14ac:dyDescent="0.25"/>
  </sheetData>
  <sheetProtection sheet="1" objects="1" scenarios="1"/>
  <mergeCells count="12">
    <mergeCell ref="H28:J28"/>
    <mergeCell ref="K28:M28"/>
    <mergeCell ref="N28:P28"/>
    <mergeCell ref="Q28:S28"/>
    <mergeCell ref="H4:J4"/>
    <mergeCell ref="K4:M4"/>
    <mergeCell ref="N4:P4"/>
    <mergeCell ref="Q4:S4"/>
    <mergeCell ref="H13:J13"/>
    <mergeCell ref="K13:M13"/>
    <mergeCell ref="N13:P13"/>
    <mergeCell ref="Q13:S13"/>
  </mergeCell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96FE3F-09ED-4A49-B3F8-E13A2DA35406}">
  <sheetPr codeName="Hoja18"/>
  <dimension ref="B1:H8"/>
  <sheetViews>
    <sheetView workbookViewId="0">
      <selection activeCell="G20" sqref="G20"/>
    </sheetView>
  </sheetViews>
  <sheetFormatPr baseColWidth="10" defaultColWidth="9.140625" defaultRowHeight="15" x14ac:dyDescent="0.25"/>
  <cols>
    <col min="2" max="2" width="13" customWidth="1"/>
    <col min="3" max="4" width="12.7109375" bestFit="1" customWidth="1"/>
    <col min="5" max="5" width="13.7109375" bestFit="1" customWidth="1"/>
    <col min="6" max="6" width="12.7109375" bestFit="1" customWidth="1"/>
    <col min="7" max="7" width="15.28515625" bestFit="1" customWidth="1"/>
    <col min="8" max="9" width="14.140625" bestFit="1" customWidth="1"/>
  </cols>
  <sheetData>
    <row r="1" spans="2:8" s="192" customFormat="1" x14ac:dyDescent="0.25"/>
    <row r="2" spans="2:8" ht="15.75" thickBot="1" x14ac:dyDescent="0.3"/>
    <row r="3" spans="2:8" ht="16.5" thickBot="1" x14ac:dyDescent="0.3">
      <c r="B3" s="199" t="s">
        <v>168</v>
      </c>
      <c r="C3" s="200"/>
      <c r="D3" s="200"/>
      <c r="E3" s="200"/>
      <c r="F3" s="200"/>
      <c r="G3" s="201"/>
    </row>
    <row r="4" spans="2:8" ht="15.75" thickBot="1" x14ac:dyDescent="0.3">
      <c r="B4" s="202" t="s">
        <v>169</v>
      </c>
      <c r="C4" s="203" t="e">
        <f>+#REF!+#REF!+#REF!</f>
        <v>#REF!</v>
      </c>
      <c r="D4" s="203"/>
      <c r="E4" s="204"/>
      <c r="F4" s="203"/>
      <c r="G4" s="205"/>
    </row>
    <row r="6" spans="2:8" ht="15.75" thickBot="1" x14ac:dyDescent="0.3"/>
    <row r="7" spans="2:8" ht="15.75" thickBot="1" x14ac:dyDescent="0.3">
      <c r="B7" s="206" t="s">
        <v>141</v>
      </c>
      <c r="C7" s="207" t="s">
        <v>170</v>
      </c>
      <c r="D7" s="207" t="s">
        <v>171</v>
      </c>
      <c r="E7" s="207" t="s">
        <v>172</v>
      </c>
      <c r="F7" s="207" t="s">
        <v>173</v>
      </c>
      <c r="G7" s="207" t="s">
        <v>174</v>
      </c>
      <c r="H7" s="208" t="s">
        <v>175</v>
      </c>
    </row>
    <row r="8" spans="2:8" ht="15.75" thickBot="1" x14ac:dyDescent="0.3">
      <c r="B8" s="193" t="e">
        <f>+SUM(C8:H8)</f>
        <v>#REF!</v>
      </c>
      <c r="C8" s="194" t="e">
        <f>+SUM(#REF!,#REF!,#REF!)</f>
        <v>#REF!</v>
      </c>
      <c r="D8" s="194" t="e">
        <f>+SUM(#REF!,#REF!,#REF!)</f>
        <v>#REF!</v>
      </c>
      <c r="E8" s="194" t="e">
        <f>+SUM(#REF!,#REF!,#REF!)</f>
        <v>#REF!</v>
      </c>
      <c r="F8" s="194" t="e">
        <f>+SUM(#REF!,#REF!,#REF!)</f>
        <v>#REF!</v>
      </c>
      <c r="G8" s="194" t="e">
        <f>+SUM(#REF!,#REF!,#REF!)</f>
        <v>#REF!</v>
      </c>
      <c r="H8" s="194" t="e">
        <f>+SUM(#REF!,#REF!,#REF!)</f>
        <v>#REF!</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7C1699-45FF-4FB9-903E-7FCDFB90B12E}">
  <sheetPr codeName="Hoja9"/>
  <dimension ref="B1:I66"/>
  <sheetViews>
    <sheetView workbookViewId="0">
      <selection activeCell="D10" sqref="D10"/>
    </sheetView>
  </sheetViews>
  <sheetFormatPr baseColWidth="10" defaultColWidth="9.140625" defaultRowHeight="15" x14ac:dyDescent="0.25"/>
  <cols>
    <col min="2" max="2" width="13" customWidth="1"/>
    <col min="3" max="4" width="12.7109375" bestFit="1" customWidth="1"/>
    <col min="5" max="5" width="13.7109375" bestFit="1" customWidth="1"/>
    <col min="6" max="6" width="12.7109375" bestFit="1" customWidth="1"/>
    <col min="7" max="7" width="15.28515625" bestFit="1" customWidth="1"/>
    <col min="8" max="9" width="14.140625" bestFit="1" customWidth="1"/>
  </cols>
  <sheetData>
    <row r="1" spans="2:9" s="192" customFormat="1" x14ac:dyDescent="0.25"/>
    <row r="2" spans="2:9" ht="15.75" thickBot="1" x14ac:dyDescent="0.3"/>
    <row r="3" spans="2:9" ht="16.5" thickBot="1" x14ac:dyDescent="0.3">
      <c r="B3" s="199" t="s">
        <v>176</v>
      </c>
      <c r="C3" s="200"/>
      <c r="D3" s="200"/>
      <c r="E3" s="200"/>
      <c r="F3" s="200"/>
      <c r="G3" s="201"/>
    </row>
    <row r="4" spans="2:9" ht="15.75" thickBot="1" x14ac:dyDescent="0.3">
      <c r="B4" s="202" t="s">
        <v>177</v>
      </c>
      <c r="C4" s="203">
        <v>5</v>
      </c>
      <c r="D4" s="203" t="s">
        <v>178</v>
      </c>
      <c r="E4" s="204">
        <v>45817</v>
      </c>
      <c r="F4" s="203" t="s">
        <v>179</v>
      </c>
      <c r="G4" s="205">
        <f>+E4+5</f>
        <v>45822</v>
      </c>
    </row>
    <row r="6" spans="2:9" ht="15.75" thickBot="1" x14ac:dyDescent="0.3">
      <c r="C6">
        <f>+SUM(C8:C12)</f>
        <v>7</v>
      </c>
    </row>
    <row r="7" spans="2:9" ht="15.75" thickBot="1" x14ac:dyDescent="0.3">
      <c r="B7" s="206" t="s">
        <v>180</v>
      </c>
      <c r="C7" s="207" t="s">
        <v>141</v>
      </c>
      <c r="D7" s="207" t="s">
        <v>170</v>
      </c>
      <c r="E7" s="207" t="s">
        <v>171</v>
      </c>
      <c r="F7" s="207" t="s">
        <v>172</v>
      </c>
      <c r="G7" s="207" t="s">
        <v>173</v>
      </c>
      <c r="H7" s="207" t="s">
        <v>174</v>
      </c>
      <c r="I7" s="208" t="s">
        <v>175</v>
      </c>
    </row>
    <row r="8" spans="2:9" x14ac:dyDescent="0.25">
      <c r="B8" s="196">
        <f>+E4</f>
        <v>45817</v>
      </c>
      <c r="C8" s="191">
        <f>+SUM(D8:I8)</f>
        <v>0</v>
      </c>
      <c r="D8" s="191">
        <f>+COUNTIFS(registro_solicitudes[Fecha],'Informe Semanal'!$B8,registro_solicitudes[Responsable],'Informe Semanal'!D$59)</f>
        <v>0</v>
      </c>
      <c r="E8" s="191">
        <f>+COUNTIFS(registro_solicitudes[Fecha],'Informe Semanal'!$B8,registro_solicitudes[Responsable],'Informe Semanal'!E$59)</f>
        <v>0</v>
      </c>
      <c r="F8" s="191">
        <f>+COUNTIFS(registro_solicitudes[Fecha],'Informe Semanal'!$B8,registro_solicitudes[Responsable],'Informe Semanal'!F$59)</f>
        <v>0</v>
      </c>
      <c r="G8" s="191">
        <f>+COUNTIFS(registro_solicitudes[Fecha],'Informe Semanal'!$B8,registro_solicitudes[Responsable],'Informe Semanal'!G$59)</f>
        <v>0</v>
      </c>
      <c r="H8" s="191">
        <f>+COUNTIFS(registro_solicitudes[Fecha],'Informe Semanal'!$B8,registro_solicitudes[Responsable],'Informe Semanal'!H$59)</f>
        <v>0</v>
      </c>
      <c r="I8" s="197">
        <f>+COUNTIFS(registro_solicitudes[Fecha],'Informe Semanal'!$B8,registro_solicitudes[Responsable],'Informe Semanal'!I$59)</f>
        <v>0</v>
      </c>
    </row>
    <row r="9" spans="2:9" x14ac:dyDescent="0.25">
      <c r="B9" s="196">
        <f>+B8+1</f>
        <v>45818</v>
      </c>
      <c r="C9" s="191">
        <f t="shared" ref="C9:C12" si="0">+SUM(D9:I9)</f>
        <v>5</v>
      </c>
      <c r="D9" s="191">
        <f>+COUNTIFS(registro_solicitudes[Fecha],'Informe Semanal'!$B9,registro_solicitudes[Responsable],'Informe Semanal'!D$59)</f>
        <v>1</v>
      </c>
      <c r="E9" s="191">
        <f>+COUNTIFS(registro_solicitudes[Fecha],'Informe Semanal'!$B9,registro_solicitudes[Responsable],'Informe Semanal'!E$59)</f>
        <v>1</v>
      </c>
      <c r="F9" s="191">
        <f>+COUNTIFS(registro_solicitudes[Fecha],'Informe Semanal'!$B9,registro_solicitudes[Responsable],'Informe Semanal'!F$59)</f>
        <v>2</v>
      </c>
      <c r="G9" s="191">
        <f>+COUNTIFS(registro_solicitudes[Fecha],'Informe Semanal'!$B9,registro_solicitudes[Responsable],'Informe Semanal'!G$59)</f>
        <v>1</v>
      </c>
      <c r="H9" s="191">
        <f>+COUNTIFS(registro_solicitudes[Fecha],'Informe Semanal'!$B9,registro_solicitudes[Responsable],'Informe Semanal'!H$59)</f>
        <v>0</v>
      </c>
      <c r="I9" s="197">
        <f>+COUNTIFS(registro_solicitudes[Fecha],'Informe Semanal'!$B9,registro_solicitudes[Responsable],'Informe Semanal'!I$59)</f>
        <v>0</v>
      </c>
    </row>
    <row r="10" spans="2:9" x14ac:dyDescent="0.25">
      <c r="B10" s="196">
        <f>+B9+1</f>
        <v>45819</v>
      </c>
      <c r="C10" s="191">
        <f t="shared" si="0"/>
        <v>2</v>
      </c>
      <c r="D10" s="191">
        <f>+COUNTIFS(registro_solicitudes[Fecha],'Informe Semanal'!$B10,registro_solicitudes[Responsable],'Informe Semanal'!D$59)</f>
        <v>1</v>
      </c>
      <c r="E10" s="191">
        <f>+COUNTIFS(registro_solicitudes[Fecha],'Informe Semanal'!$B10,registro_solicitudes[Responsable],'Informe Semanal'!E$59)</f>
        <v>1</v>
      </c>
      <c r="F10" s="191">
        <f>+COUNTIFS(registro_solicitudes[Fecha],'Informe Semanal'!$B10,registro_solicitudes[Responsable],'Informe Semanal'!F$59)</f>
        <v>0</v>
      </c>
      <c r="G10" s="191">
        <f>+COUNTIFS(registro_solicitudes[Fecha],'Informe Semanal'!$B10,registro_solicitudes[Responsable],'Informe Semanal'!G$59)</f>
        <v>0</v>
      </c>
      <c r="H10" s="191">
        <f>+COUNTIFS(registro_solicitudes[Fecha],'Informe Semanal'!$B10,registro_solicitudes[Responsable],'Informe Semanal'!H$59)</f>
        <v>0</v>
      </c>
      <c r="I10" s="197">
        <f>+COUNTIFS(registro_solicitudes[Fecha],'Informe Semanal'!$B10,registro_solicitudes[Responsable],'Informe Semanal'!I$59)</f>
        <v>0</v>
      </c>
    </row>
    <row r="11" spans="2:9" x14ac:dyDescent="0.25">
      <c r="B11" s="196">
        <f>+B10+1</f>
        <v>45820</v>
      </c>
      <c r="C11" s="191">
        <f t="shared" si="0"/>
        <v>0</v>
      </c>
      <c r="D11" s="191">
        <f>+COUNTIFS(registro_solicitudes[Fecha],'Informe Semanal'!$B11,registro_solicitudes[Responsable],'Informe Semanal'!D$59)</f>
        <v>0</v>
      </c>
      <c r="E11" s="191">
        <f>+COUNTIFS(registro_solicitudes[Fecha],'Informe Semanal'!$B11,registro_solicitudes[Responsable],'Informe Semanal'!E$59)</f>
        <v>0</v>
      </c>
      <c r="F11" s="191">
        <f>+COUNTIFS(registro_solicitudes[Fecha],'Informe Semanal'!$B11,registro_solicitudes[Responsable],'Informe Semanal'!F$59)</f>
        <v>0</v>
      </c>
      <c r="G11" s="191">
        <f>+COUNTIFS(registro_solicitudes[Fecha],'Informe Semanal'!$B11,registro_solicitudes[Responsable],'Informe Semanal'!G$59)</f>
        <v>0</v>
      </c>
      <c r="H11" s="191">
        <f>+COUNTIFS(registro_solicitudes[Fecha],'Informe Semanal'!$B11,registro_solicitudes[Responsable],'Informe Semanal'!H$59)</f>
        <v>0</v>
      </c>
      <c r="I11" s="197">
        <f>+COUNTIFS(registro_solicitudes[Fecha],'Informe Semanal'!$B11,registro_solicitudes[Responsable],'Informe Semanal'!I$59)</f>
        <v>0</v>
      </c>
    </row>
    <row r="12" spans="2:9" ht="15.75" thickBot="1" x14ac:dyDescent="0.3">
      <c r="B12" s="198">
        <f>+B11+1</f>
        <v>45821</v>
      </c>
      <c r="C12" s="191">
        <f t="shared" si="0"/>
        <v>0</v>
      </c>
      <c r="D12" s="194">
        <f>+COUNTIFS(registro_solicitudes[Fecha],'Informe Semanal'!$B12,registro_solicitudes[Responsable],'Informe Semanal'!D$59)</f>
        <v>0</v>
      </c>
      <c r="E12" s="194">
        <f>+COUNTIFS(registro_solicitudes[Fecha],'Informe Semanal'!$B12,registro_solicitudes[Responsable],'Informe Semanal'!E$59)</f>
        <v>0</v>
      </c>
      <c r="F12" s="194">
        <f>+COUNTIFS(registro_solicitudes[Fecha],'Informe Semanal'!$B12,registro_solicitudes[Responsable],'Informe Semanal'!F$59)</f>
        <v>0</v>
      </c>
      <c r="G12" s="194">
        <f>+COUNTIFS(registro_solicitudes[Fecha],'Informe Semanal'!$B12,registro_solicitudes[Responsable],'Informe Semanal'!G$59)</f>
        <v>0</v>
      </c>
      <c r="H12" s="194">
        <f>+COUNTIFS(registro_solicitudes[Fecha],'Informe Semanal'!$B12,registro_solicitudes[Responsable],'Informe Semanal'!H$59)</f>
        <v>0</v>
      </c>
      <c r="I12" s="195">
        <f>+COUNTIFS(registro_solicitudes[Fecha],'Informe Semanal'!$B12,registro_solicitudes[Responsable],'Informe Semanal'!I$59)</f>
        <v>0</v>
      </c>
    </row>
    <row r="14" spans="2:9" s="192" customFormat="1" x14ac:dyDescent="0.25"/>
    <row r="15" spans="2:9" ht="15.75" thickBot="1" x14ac:dyDescent="0.3"/>
    <row r="16" spans="2:9" ht="16.5" thickBot="1" x14ac:dyDescent="0.3">
      <c r="B16" s="199" t="s">
        <v>176</v>
      </c>
      <c r="C16" s="200"/>
      <c r="D16" s="200"/>
      <c r="E16" s="200"/>
      <c r="F16" s="200"/>
      <c r="G16" s="201"/>
    </row>
    <row r="17" spans="2:9" ht="15.75" thickBot="1" x14ac:dyDescent="0.3">
      <c r="B17" s="202" t="s">
        <v>177</v>
      </c>
      <c r="C17" s="203">
        <v>4</v>
      </c>
      <c r="D17" s="203" t="s">
        <v>178</v>
      </c>
      <c r="E17" s="204">
        <v>45810</v>
      </c>
      <c r="F17" s="203" t="s">
        <v>179</v>
      </c>
      <c r="G17" s="205">
        <f>+E17+5</f>
        <v>45815</v>
      </c>
    </row>
    <row r="19" spans="2:9" ht="15.75" thickBot="1" x14ac:dyDescent="0.3">
      <c r="C19">
        <f>+SUM(C21:C25)</f>
        <v>3</v>
      </c>
    </row>
    <row r="20" spans="2:9" ht="15.75" thickBot="1" x14ac:dyDescent="0.3">
      <c r="B20" s="206" t="s">
        <v>180</v>
      </c>
      <c r="C20" s="207" t="s">
        <v>141</v>
      </c>
      <c r="D20" s="207" t="s">
        <v>170</v>
      </c>
      <c r="E20" s="207" t="s">
        <v>171</v>
      </c>
      <c r="F20" s="207" t="s">
        <v>172</v>
      </c>
      <c r="G20" s="207" t="s">
        <v>173</v>
      </c>
      <c r="H20" s="207" t="s">
        <v>174</v>
      </c>
      <c r="I20" s="208" t="s">
        <v>175</v>
      </c>
    </row>
    <row r="21" spans="2:9" x14ac:dyDescent="0.25">
      <c r="B21" s="196">
        <f>+E17</f>
        <v>45810</v>
      </c>
      <c r="C21" s="191">
        <f>+SUM(D21:I21)</f>
        <v>0</v>
      </c>
      <c r="D21" s="191">
        <f>+COUNTIFS(registro_solicitudes[Fecha],'Informe Semanal'!$B21,registro_solicitudes[Responsable],'Informe Semanal'!D$59)</f>
        <v>0</v>
      </c>
      <c r="E21" s="191">
        <f>+COUNTIFS(registro_solicitudes[Fecha],'Informe Semanal'!$B21,registro_solicitudes[Responsable],'Informe Semanal'!E$59)</f>
        <v>0</v>
      </c>
      <c r="F21" s="191">
        <f>+COUNTIFS(registro_solicitudes[Fecha],'Informe Semanal'!$B21,registro_solicitudes[Responsable],'Informe Semanal'!F$59)</f>
        <v>0</v>
      </c>
      <c r="G21" s="191">
        <f>+COUNTIFS(registro_solicitudes[Fecha],'Informe Semanal'!$B21,registro_solicitudes[Responsable],'Informe Semanal'!G$59)</f>
        <v>0</v>
      </c>
      <c r="H21" s="191">
        <f>+COUNTIFS(registro_solicitudes[Fecha],'Informe Semanal'!$B21,registro_solicitudes[Responsable],'Informe Semanal'!H$59)</f>
        <v>0</v>
      </c>
      <c r="I21" s="197">
        <f>+COUNTIFS(registro_solicitudes[Fecha],'Informe Semanal'!$B21,registro_solicitudes[Responsable],'Informe Semanal'!I$59)</f>
        <v>0</v>
      </c>
    </row>
    <row r="22" spans="2:9" x14ac:dyDescent="0.25">
      <c r="B22" s="196">
        <f>+B21+1</f>
        <v>45811</v>
      </c>
      <c r="C22" s="191">
        <f t="shared" ref="C22:C25" si="1">+SUM(D22:I22)</f>
        <v>2</v>
      </c>
      <c r="D22" s="191">
        <f>+COUNTIFS(registro_solicitudes[Fecha],'Informe Semanal'!$B22,registro_solicitudes[Responsable],'Informe Semanal'!D$59)</f>
        <v>0</v>
      </c>
      <c r="E22" s="191">
        <f>+COUNTIFS(registro_solicitudes[Fecha],'Informe Semanal'!$B22,registro_solicitudes[Responsable],'Informe Semanal'!E$59)</f>
        <v>0</v>
      </c>
      <c r="F22" s="191">
        <f>+COUNTIFS(registro_solicitudes[Fecha],'Informe Semanal'!$B22,registro_solicitudes[Responsable],'Informe Semanal'!F$59)</f>
        <v>2</v>
      </c>
      <c r="G22" s="191">
        <f>+COUNTIFS(registro_solicitudes[Fecha],'Informe Semanal'!$B22,registro_solicitudes[Responsable],'Informe Semanal'!G$59)</f>
        <v>0</v>
      </c>
      <c r="H22" s="191">
        <f>+COUNTIFS(registro_solicitudes[Fecha],'Informe Semanal'!$B22,registro_solicitudes[Responsable],'Informe Semanal'!H$59)</f>
        <v>0</v>
      </c>
      <c r="I22" s="197">
        <f>+COUNTIFS(registro_solicitudes[Fecha],'Informe Semanal'!$B22,registro_solicitudes[Responsable],'Informe Semanal'!I$59)</f>
        <v>0</v>
      </c>
    </row>
    <row r="23" spans="2:9" x14ac:dyDescent="0.25">
      <c r="B23" s="196">
        <f>+B22+1</f>
        <v>45812</v>
      </c>
      <c r="C23" s="191">
        <f t="shared" si="1"/>
        <v>0</v>
      </c>
      <c r="D23" s="191">
        <f>+COUNTIFS(registro_solicitudes[Fecha],'Informe Semanal'!$B23,registro_solicitudes[Responsable],'Informe Semanal'!D$59)</f>
        <v>0</v>
      </c>
      <c r="E23" s="191">
        <f>+COUNTIFS(registro_solicitudes[Fecha],'Informe Semanal'!$B23,registro_solicitudes[Responsable],'Informe Semanal'!E$59)</f>
        <v>0</v>
      </c>
      <c r="F23" s="191">
        <f>+COUNTIFS(registro_solicitudes[Fecha],'Informe Semanal'!$B23,registro_solicitudes[Responsable],'Informe Semanal'!F$59)</f>
        <v>0</v>
      </c>
      <c r="G23" s="191">
        <f>+COUNTIFS(registro_solicitudes[Fecha],'Informe Semanal'!$B23,registro_solicitudes[Responsable],'Informe Semanal'!G$59)</f>
        <v>0</v>
      </c>
      <c r="H23" s="191">
        <f>+COUNTIFS(registro_solicitudes[Fecha],'Informe Semanal'!$B23,registro_solicitudes[Responsable],'Informe Semanal'!H$59)</f>
        <v>0</v>
      </c>
      <c r="I23" s="197">
        <f>+COUNTIFS(registro_solicitudes[Fecha],'Informe Semanal'!$B23,registro_solicitudes[Responsable],'Informe Semanal'!I$59)</f>
        <v>0</v>
      </c>
    </row>
    <row r="24" spans="2:9" x14ac:dyDescent="0.25">
      <c r="B24" s="196">
        <f>+B23+1</f>
        <v>45813</v>
      </c>
      <c r="C24" s="191">
        <f t="shared" si="1"/>
        <v>0</v>
      </c>
      <c r="D24" s="191">
        <f>+COUNTIFS(registro_solicitudes[Fecha],'Informe Semanal'!$B24,registro_solicitudes[Responsable],'Informe Semanal'!D$59)</f>
        <v>0</v>
      </c>
      <c r="E24" s="191">
        <f>+COUNTIFS(registro_solicitudes[Fecha],'Informe Semanal'!$B24,registro_solicitudes[Responsable],'Informe Semanal'!E$59)</f>
        <v>0</v>
      </c>
      <c r="F24" s="191">
        <f>+COUNTIFS(registro_solicitudes[Fecha],'Informe Semanal'!$B24,registro_solicitudes[Responsable],'Informe Semanal'!F$59)</f>
        <v>0</v>
      </c>
      <c r="G24" s="191">
        <f>+COUNTIFS(registro_solicitudes[Fecha],'Informe Semanal'!$B24,registro_solicitudes[Responsable],'Informe Semanal'!G$59)</f>
        <v>0</v>
      </c>
      <c r="H24" s="191">
        <f>+COUNTIFS(registro_solicitudes[Fecha],'Informe Semanal'!$B24,registro_solicitudes[Responsable],'Informe Semanal'!H$59)</f>
        <v>0</v>
      </c>
      <c r="I24" s="197">
        <f>+COUNTIFS(registro_solicitudes[Fecha],'Informe Semanal'!$B24,registro_solicitudes[Responsable],'Informe Semanal'!I$59)</f>
        <v>0</v>
      </c>
    </row>
    <row r="25" spans="2:9" ht="15.75" thickBot="1" x14ac:dyDescent="0.3">
      <c r="B25" s="198">
        <f>+B24+1</f>
        <v>45814</v>
      </c>
      <c r="C25" s="191">
        <f t="shared" si="1"/>
        <v>1</v>
      </c>
      <c r="D25" s="194">
        <f>+COUNTIFS(registro_solicitudes[Fecha],'Informe Semanal'!$B25,registro_solicitudes[Responsable],'Informe Semanal'!D$59)</f>
        <v>0</v>
      </c>
      <c r="E25" s="194">
        <f>+COUNTIFS(registro_solicitudes[Fecha],'Informe Semanal'!$B25,registro_solicitudes[Responsable],'Informe Semanal'!E$59)</f>
        <v>0</v>
      </c>
      <c r="F25" s="194">
        <f>+COUNTIFS(registro_solicitudes[Fecha],'Informe Semanal'!$B25,registro_solicitudes[Responsable],'Informe Semanal'!F$59)</f>
        <v>1</v>
      </c>
      <c r="G25" s="194">
        <f>+COUNTIFS(registro_solicitudes[Fecha],'Informe Semanal'!$B25,registro_solicitudes[Responsable],'Informe Semanal'!G$59)</f>
        <v>0</v>
      </c>
      <c r="H25" s="194">
        <f>+COUNTIFS(registro_solicitudes[Fecha],'Informe Semanal'!$B25,registro_solicitudes[Responsable],'Informe Semanal'!H$59)</f>
        <v>0</v>
      </c>
      <c r="I25" s="195">
        <f>+COUNTIFS(registro_solicitudes[Fecha],'Informe Semanal'!$B25,registro_solicitudes[Responsable],'Informe Semanal'!I$59)</f>
        <v>0</v>
      </c>
    </row>
    <row r="27" spans="2:9" s="192" customFormat="1" x14ac:dyDescent="0.25"/>
    <row r="28" spans="2:9" ht="15.75" thickBot="1" x14ac:dyDescent="0.3"/>
    <row r="29" spans="2:9" ht="16.5" thickBot="1" x14ac:dyDescent="0.3">
      <c r="B29" s="199" t="s">
        <v>176</v>
      </c>
      <c r="C29" s="200"/>
      <c r="D29" s="200"/>
      <c r="E29" s="200"/>
      <c r="F29" s="200"/>
      <c r="G29" s="201"/>
    </row>
    <row r="30" spans="2:9" ht="15.75" thickBot="1" x14ac:dyDescent="0.3">
      <c r="B30" s="202" t="s">
        <v>177</v>
      </c>
      <c r="C30" s="203">
        <v>3</v>
      </c>
      <c r="D30" s="203" t="s">
        <v>178</v>
      </c>
      <c r="E30" s="204">
        <v>45803</v>
      </c>
      <c r="F30" s="203" t="s">
        <v>179</v>
      </c>
      <c r="G30" s="205">
        <f>+E30+5</f>
        <v>45808</v>
      </c>
    </row>
    <row r="32" spans="2:9" ht="15.75" thickBot="1" x14ac:dyDescent="0.3">
      <c r="C32">
        <f>+SUM(C34:C38)</f>
        <v>10</v>
      </c>
    </row>
    <row r="33" spans="2:9" ht="15.75" thickBot="1" x14ac:dyDescent="0.3">
      <c r="B33" s="206" t="s">
        <v>180</v>
      </c>
      <c r="C33" s="207" t="s">
        <v>141</v>
      </c>
      <c r="D33" s="207" t="s">
        <v>170</v>
      </c>
      <c r="E33" s="207" t="s">
        <v>171</v>
      </c>
      <c r="F33" s="207" t="s">
        <v>172</v>
      </c>
      <c r="G33" s="207" t="s">
        <v>173</v>
      </c>
      <c r="H33" s="207" t="s">
        <v>174</v>
      </c>
      <c r="I33" s="208" t="s">
        <v>175</v>
      </c>
    </row>
    <row r="34" spans="2:9" x14ac:dyDescent="0.25">
      <c r="B34" s="196">
        <f>+E30</f>
        <v>45803</v>
      </c>
      <c r="C34" s="191">
        <f>+SUM(D34:I34)</f>
        <v>1</v>
      </c>
      <c r="D34" s="191">
        <f>+COUNTIFS(registro_solicitudes[Fecha],'Informe Semanal'!$B34,registro_solicitudes[Responsable],'Informe Semanal'!D$59)</f>
        <v>0</v>
      </c>
      <c r="E34" s="191">
        <f>+COUNTIFS(registro_solicitudes[Fecha],'Informe Semanal'!$B34,registro_solicitudes[Responsable],'Informe Semanal'!E$59)</f>
        <v>0</v>
      </c>
      <c r="F34" s="191">
        <f>+COUNTIFS(registro_solicitudes[Fecha],'Informe Semanal'!$B34,registro_solicitudes[Responsable],'Informe Semanal'!F$59)</f>
        <v>1</v>
      </c>
      <c r="G34" s="191">
        <f>+COUNTIFS(registro_solicitudes[Fecha],'Informe Semanal'!$B34,registro_solicitudes[Responsable],'Informe Semanal'!G$59)</f>
        <v>0</v>
      </c>
      <c r="H34" s="191">
        <f>+COUNTIFS(registro_solicitudes[Fecha],'Informe Semanal'!$B34,registro_solicitudes[Responsable],'Informe Semanal'!H$59)</f>
        <v>0</v>
      </c>
      <c r="I34" s="197">
        <f>+COUNTIFS(registro_solicitudes[Fecha],'Informe Semanal'!$B34,registro_solicitudes[Responsable],'Informe Semanal'!I$59)</f>
        <v>0</v>
      </c>
    </row>
    <row r="35" spans="2:9" x14ac:dyDescent="0.25">
      <c r="B35" s="196">
        <f>+B34+1</f>
        <v>45804</v>
      </c>
      <c r="C35" s="191">
        <f t="shared" ref="C35:C38" si="2">+SUM(D35:I35)</f>
        <v>3</v>
      </c>
      <c r="D35" s="191">
        <f>+COUNTIFS(registro_solicitudes[Fecha],'Informe Semanal'!$B35,registro_solicitudes[Responsable],'Informe Semanal'!D$59)</f>
        <v>0</v>
      </c>
      <c r="E35" s="191">
        <f>+COUNTIFS(registro_solicitudes[Fecha],'Informe Semanal'!$B35,registro_solicitudes[Responsable],'Informe Semanal'!E$59)</f>
        <v>0</v>
      </c>
      <c r="F35" s="191">
        <f>+COUNTIFS(registro_solicitudes[Fecha],'Informe Semanal'!$B35,registro_solicitudes[Responsable],'Informe Semanal'!F$59)</f>
        <v>0</v>
      </c>
      <c r="G35" s="191">
        <f>+COUNTIFS(registro_solicitudes[Fecha],'Informe Semanal'!$B35,registro_solicitudes[Responsable],'Informe Semanal'!G$59)</f>
        <v>3</v>
      </c>
      <c r="H35" s="191">
        <f>+COUNTIFS(registro_solicitudes[Fecha],'Informe Semanal'!$B35,registro_solicitudes[Responsable],'Informe Semanal'!H$59)</f>
        <v>0</v>
      </c>
      <c r="I35" s="197">
        <f>+COUNTIFS(registro_solicitudes[Fecha],'Informe Semanal'!$B35,registro_solicitudes[Responsable],'Informe Semanal'!I$59)</f>
        <v>0</v>
      </c>
    </row>
    <row r="36" spans="2:9" x14ac:dyDescent="0.25">
      <c r="B36" s="196">
        <f>+B35+1</f>
        <v>45805</v>
      </c>
      <c r="C36" s="191">
        <f t="shared" si="2"/>
        <v>5</v>
      </c>
      <c r="D36" s="191">
        <f>+COUNTIFS(registro_solicitudes[Fecha],'Informe Semanal'!$B36,registro_solicitudes[Responsable],'Informe Semanal'!D$59)</f>
        <v>2</v>
      </c>
      <c r="E36" s="191">
        <f>+COUNTIFS(registro_solicitudes[Fecha],'Informe Semanal'!$B36,registro_solicitudes[Responsable],'Informe Semanal'!E$59)</f>
        <v>2</v>
      </c>
      <c r="F36" s="191">
        <f>+COUNTIFS(registro_solicitudes[Fecha],'Informe Semanal'!$B36,registro_solicitudes[Responsable],'Informe Semanal'!F$59)</f>
        <v>1</v>
      </c>
      <c r="G36" s="191">
        <f>+COUNTIFS(registro_solicitudes[Fecha],'Informe Semanal'!$B36,registro_solicitudes[Responsable],'Informe Semanal'!G$59)</f>
        <v>0</v>
      </c>
      <c r="H36" s="191">
        <f>+COUNTIFS(registro_solicitudes[Fecha],'Informe Semanal'!$B36,registro_solicitudes[Responsable],'Informe Semanal'!H$59)</f>
        <v>0</v>
      </c>
      <c r="I36" s="197">
        <f>+COUNTIFS(registro_solicitudes[Fecha],'Informe Semanal'!$B36,registro_solicitudes[Responsable],'Informe Semanal'!I$59)</f>
        <v>0</v>
      </c>
    </row>
    <row r="37" spans="2:9" x14ac:dyDescent="0.25">
      <c r="B37" s="196">
        <f>+B36+1</f>
        <v>45806</v>
      </c>
      <c r="C37" s="191">
        <f t="shared" si="2"/>
        <v>0</v>
      </c>
      <c r="D37" s="191">
        <f>+COUNTIFS(registro_solicitudes[Fecha],'Informe Semanal'!$B37,registro_solicitudes[Responsable],'Informe Semanal'!D$59)</f>
        <v>0</v>
      </c>
      <c r="E37" s="191">
        <f>+COUNTIFS(registro_solicitudes[Fecha],'Informe Semanal'!$B37,registro_solicitudes[Responsable],'Informe Semanal'!E$59)</f>
        <v>0</v>
      </c>
      <c r="F37" s="191">
        <f>+COUNTIFS(registro_solicitudes[Fecha],'Informe Semanal'!$B37,registro_solicitudes[Responsable],'Informe Semanal'!F$59)</f>
        <v>0</v>
      </c>
      <c r="G37" s="191">
        <f>+COUNTIFS(registro_solicitudes[Fecha],'Informe Semanal'!$B37,registro_solicitudes[Responsable],'Informe Semanal'!G$59)</f>
        <v>0</v>
      </c>
      <c r="H37" s="191">
        <f>+COUNTIFS(registro_solicitudes[Fecha],'Informe Semanal'!$B37,registro_solicitudes[Responsable],'Informe Semanal'!H$59)</f>
        <v>0</v>
      </c>
      <c r="I37" s="197">
        <f>+COUNTIFS(registro_solicitudes[Fecha],'Informe Semanal'!$B37,registro_solicitudes[Responsable],'Informe Semanal'!I$59)</f>
        <v>0</v>
      </c>
    </row>
    <row r="38" spans="2:9" ht="15.75" thickBot="1" x14ac:dyDescent="0.3">
      <c r="B38" s="198">
        <f>+B37+1</f>
        <v>45807</v>
      </c>
      <c r="C38" s="191">
        <f t="shared" si="2"/>
        <v>1</v>
      </c>
      <c r="D38" s="194">
        <f>+COUNTIFS(registro_solicitudes[Fecha],'Informe Semanal'!$B38,registro_solicitudes[Responsable],'Informe Semanal'!D$59)</f>
        <v>0</v>
      </c>
      <c r="E38" s="194">
        <f>+COUNTIFS(registro_solicitudes[Fecha],'Informe Semanal'!$B38,registro_solicitudes[Responsable],'Informe Semanal'!E$59)</f>
        <v>0</v>
      </c>
      <c r="F38" s="194">
        <f>+COUNTIFS(registro_solicitudes[Fecha],'Informe Semanal'!$B38,registro_solicitudes[Responsable],'Informe Semanal'!F$59)</f>
        <v>1</v>
      </c>
      <c r="G38" s="194">
        <f>+COUNTIFS(registro_solicitudes[Fecha],'Informe Semanal'!$B38,registro_solicitudes[Responsable],'Informe Semanal'!G$59)</f>
        <v>0</v>
      </c>
      <c r="H38" s="194">
        <f>+COUNTIFS(registro_solicitudes[Fecha],'Informe Semanal'!$B38,registro_solicitudes[Responsable],'Informe Semanal'!H$59)</f>
        <v>0</v>
      </c>
      <c r="I38" s="195">
        <f>+COUNTIFS(registro_solicitudes[Fecha],'Informe Semanal'!$B38,registro_solicitudes[Responsable],'Informe Semanal'!I$59)</f>
        <v>0</v>
      </c>
    </row>
    <row r="40" spans="2:9" s="192" customFormat="1" x14ac:dyDescent="0.25"/>
    <row r="41" spans="2:9" ht="15.75" thickBot="1" x14ac:dyDescent="0.3"/>
    <row r="42" spans="2:9" ht="16.5" thickBot="1" x14ac:dyDescent="0.3">
      <c r="B42" s="199" t="s">
        <v>176</v>
      </c>
      <c r="C42" s="200"/>
      <c r="D42" s="200"/>
      <c r="E42" s="200"/>
      <c r="F42" s="200"/>
      <c r="G42" s="201"/>
    </row>
    <row r="43" spans="2:9" ht="15.75" thickBot="1" x14ac:dyDescent="0.3">
      <c r="B43" s="202" t="s">
        <v>177</v>
      </c>
      <c r="C43" s="203">
        <v>2</v>
      </c>
      <c r="D43" s="203" t="s">
        <v>178</v>
      </c>
      <c r="E43" s="204">
        <v>45796</v>
      </c>
      <c r="F43" s="203" t="s">
        <v>179</v>
      </c>
      <c r="G43" s="205">
        <f>+E43+5</f>
        <v>45801</v>
      </c>
    </row>
    <row r="45" spans="2:9" ht="15.75" thickBot="1" x14ac:dyDescent="0.3">
      <c r="C45">
        <f>+SUM(C47:C51)</f>
        <v>12</v>
      </c>
    </row>
    <row r="46" spans="2:9" ht="15.75" thickBot="1" x14ac:dyDescent="0.3">
      <c r="B46" s="206" t="s">
        <v>180</v>
      </c>
      <c r="C46" s="207" t="s">
        <v>141</v>
      </c>
      <c r="D46" s="207" t="s">
        <v>170</v>
      </c>
      <c r="E46" s="207" t="s">
        <v>171</v>
      </c>
      <c r="F46" s="207" t="s">
        <v>172</v>
      </c>
      <c r="G46" s="207" t="s">
        <v>173</v>
      </c>
      <c r="H46" s="207" t="s">
        <v>174</v>
      </c>
      <c r="I46" s="208" t="s">
        <v>175</v>
      </c>
    </row>
    <row r="47" spans="2:9" x14ac:dyDescent="0.25">
      <c r="B47" s="196">
        <f>+E43</f>
        <v>45796</v>
      </c>
      <c r="C47" s="191">
        <f>+SUM(D47:I47)</f>
        <v>0</v>
      </c>
      <c r="D47" s="191">
        <f>+COUNTIFS(registro_solicitudes[Fecha],'Informe Semanal'!$B47,registro_solicitudes[Responsable],'Informe Semanal'!D$59)</f>
        <v>0</v>
      </c>
      <c r="E47" s="191">
        <f>+COUNTIFS(registro_solicitudes[Fecha],'Informe Semanal'!$B47,registro_solicitudes[Responsable],'Informe Semanal'!E$59)</f>
        <v>0</v>
      </c>
      <c r="F47" s="191">
        <f>+COUNTIFS(registro_solicitudes[Fecha],'Informe Semanal'!$B47,registro_solicitudes[Responsable],'Informe Semanal'!F$59)</f>
        <v>0</v>
      </c>
      <c r="G47" s="191">
        <f>+COUNTIFS(registro_solicitudes[Fecha],'Informe Semanal'!$B47,registro_solicitudes[Responsable],'Informe Semanal'!G$59)</f>
        <v>0</v>
      </c>
      <c r="H47" s="191">
        <f>+COUNTIFS(registro_solicitudes[Fecha],'Informe Semanal'!$B47,registro_solicitudes[Responsable],'Informe Semanal'!H$59)</f>
        <v>0</v>
      </c>
      <c r="I47" s="197">
        <f>+COUNTIFS(registro_solicitudes[Fecha],'Informe Semanal'!$B47,registro_solicitudes[Responsable],'Informe Semanal'!I$59)</f>
        <v>0</v>
      </c>
    </row>
    <row r="48" spans="2:9" x14ac:dyDescent="0.25">
      <c r="B48" s="196">
        <f>+B47+1</f>
        <v>45797</v>
      </c>
      <c r="C48" s="191">
        <f t="shared" ref="C48:C51" si="3">+SUM(D48:I48)</f>
        <v>1</v>
      </c>
      <c r="D48" s="191">
        <f>+COUNTIFS(registro_solicitudes[Fecha],'Informe Semanal'!$B48,registro_solicitudes[Responsable],'Informe Semanal'!D$59)</f>
        <v>0</v>
      </c>
      <c r="E48" s="191">
        <f>+COUNTIFS(registro_solicitudes[Fecha],'Informe Semanal'!$B48,registro_solicitudes[Responsable],'Informe Semanal'!E$59)</f>
        <v>1</v>
      </c>
      <c r="F48" s="191">
        <f>+COUNTIFS(registro_solicitudes[Fecha],'Informe Semanal'!$B48,registro_solicitudes[Responsable],'Informe Semanal'!F$59)</f>
        <v>0</v>
      </c>
      <c r="G48" s="191">
        <f>+COUNTIFS(registro_solicitudes[Fecha],'Informe Semanal'!$B48,registro_solicitudes[Responsable],'Informe Semanal'!G$59)</f>
        <v>0</v>
      </c>
      <c r="H48" s="191">
        <f>+COUNTIFS(registro_solicitudes[Fecha],'Informe Semanal'!$B48,registro_solicitudes[Responsable],'Informe Semanal'!H$59)</f>
        <v>0</v>
      </c>
      <c r="I48" s="197">
        <f>+COUNTIFS(registro_solicitudes[Fecha],'Informe Semanal'!$B48,registro_solicitudes[Responsable],'Informe Semanal'!I$59)</f>
        <v>0</v>
      </c>
    </row>
    <row r="49" spans="2:9" x14ac:dyDescent="0.25">
      <c r="B49" s="196">
        <f>+B48+1</f>
        <v>45798</v>
      </c>
      <c r="C49" s="191">
        <f t="shared" si="3"/>
        <v>6</v>
      </c>
      <c r="D49" s="191">
        <f>+COUNTIFS(registro_solicitudes[Fecha],'Informe Semanal'!$B49,registro_solicitudes[Responsable],'Informe Semanal'!D$59)</f>
        <v>1</v>
      </c>
      <c r="E49" s="191">
        <f>+COUNTIFS(registro_solicitudes[Fecha],'Informe Semanal'!$B49,registro_solicitudes[Responsable],'Informe Semanal'!E$59)</f>
        <v>2</v>
      </c>
      <c r="F49" s="191">
        <f>+COUNTIFS(registro_solicitudes[Fecha],'Informe Semanal'!$B49,registro_solicitudes[Responsable],'Informe Semanal'!F$59)</f>
        <v>2</v>
      </c>
      <c r="G49" s="191">
        <f>+COUNTIFS(registro_solicitudes[Fecha],'Informe Semanal'!$B49,registro_solicitudes[Responsable],'Informe Semanal'!G$59)</f>
        <v>1</v>
      </c>
      <c r="H49" s="191">
        <f>+COUNTIFS(registro_solicitudes[Fecha],'Informe Semanal'!$B49,registro_solicitudes[Responsable],'Informe Semanal'!H$59)</f>
        <v>0</v>
      </c>
      <c r="I49" s="197">
        <f>+COUNTIFS(registro_solicitudes[Fecha],'Informe Semanal'!$B49,registro_solicitudes[Responsable],'Informe Semanal'!I$59)</f>
        <v>0</v>
      </c>
    </row>
    <row r="50" spans="2:9" x14ac:dyDescent="0.25">
      <c r="B50" s="196">
        <f>+B49+1</f>
        <v>45799</v>
      </c>
      <c r="C50" s="191">
        <f t="shared" si="3"/>
        <v>5</v>
      </c>
      <c r="D50" s="191">
        <f>+COUNTIFS(registro_solicitudes[Fecha],'Informe Semanal'!$B50,registro_solicitudes[Responsable],'Informe Semanal'!D$59)</f>
        <v>2</v>
      </c>
      <c r="E50" s="191">
        <f>+COUNTIFS(registro_solicitudes[Fecha],'Informe Semanal'!$B50,registro_solicitudes[Responsable],'Informe Semanal'!E$59)</f>
        <v>1</v>
      </c>
      <c r="F50" s="191">
        <f>+COUNTIFS(registro_solicitudes[Fecha],'Informe Semanal'!$B50,registro_solicitudes[Responsable],'Informe Semanal'!F$59)</f>
        <v>1</v>
      </c>
      <c r="G50" s="191">
        <f>+COUNTIFS(registro_solicitudes[Fecha],'Informe Semanal'!$B50,registro_solicitudes[Responsable],'Informe Semanal'!G$59)</f>
        <v>1</v>
      </c>
      <c r="H50" s="191">
        <f>+COUNTIFS(registro_solicitudes[Fecha],'Informe Semanal'!$B50,registro_solicitudes[Responsable],'Informe Semanal'!H$59)</f>
        <v>0</v>
      </c>
      <c r="I50" s="197">
        <f>+COUNTIFS(registro_solicitudes[Fecha],'Informe Semanal'!$B50,registro_solicitudes[Responsable],'Informe Semanal'!I$59)</f>
        <v>0</v>
      </c>
    </row>
    <row r="51" spans="2:9" ht="15.75" thickBot="1" x14ac:dyDescent="0.3">
      <c r="B51" s="198">
        <f>+B50+1</f>
        <v>45800</v>
      </c>
      <c r="C51" s="191">
        <f t="shared" si="3"/>
        <v>0</v>
      </c>
      <c r="D51" s="194">
        <f>+COUNTIFS(registro_solicitudes[Fecha],'Informe Semanal'!$B51,registro_solicitudes[Responsable],'Informe Semanal'!D$59)</f>
        <v>0</v>
      </c>
      <c r="E51" s="194">
        <f>+COUNTIFS(registro_solicitudes[Fecha],'Informe Semanal'!$B51,registro_solicitudes[Responsable],'Informe Semanal'!E$59)</f>
        <v>0</v>
      </c>
      <c r="F51" s="194">
        <f>+COUNTIFS(registro_solicitudes[Fecha],'Informe Semanal'!$B51,registro_solicitudes[Responsable],'Informe Semanal'!F$59)</f>
        <v>0</v>
      </c>
      <c r="G51" s="194">
        <f>+COUNTIFS(registro_solicitudes[Fecha],'Informe Semanal'!$B51,registro_solicitudes[Responsable],'Informe Semanal'!G$59)</f>
        <v>0</v>
      </c>
      <c r="H51" s="194">
        <f>+COUNTIFS(registro_solicitudes[Fecha],'Informe Semanal'!$B51,registro_solicitudes[Responsable],'Informe Semanal'!H$59)</f>
        <v>0</v>
      </c>
      <c r="I51" s="195">
        <f>+COUNTIFS(registro_solicitudes[Fecha],'Informe Semanal'!$B51,registro_solicitudes[Responsable],'Informe Semanal'!I$59)</f>
        <v>0</v>
      </c>
    </row>
    <row r="53" spans="2:9" s="192" customFormat="1" x14ac:dyDescent="0.25"/>
    <row r="54" spans="2:9" ht="15.75" thickBot="1" x14ac:dyDescent="0.3"/>
    <row r="55" spans="2:9" ht="16.5" thickBot="1" x14ac:dyDescent="0.3">
      <c r="B55" s="199" t="s">
        <v>176</v>
      </c>
      <c r="C55" s="200"/>
      <c r="D55" s="200"/>
      <c r="E55" s="200"/>
      <c r="F55" s="200"/>
      <c r="G55" s="201"/>
    </row>
    <row r="56" spans="2:9" ht="15.75" thickBot="1" x14ac:dyDescent="0.3">
      <c r="B56" s="202" t="s">
        <v>177</v>
      </c>
      <c r="C56" s="203">
        <v>1</v>
      </c>
      <c r="D56" s="203" t="s">
        <v>178</v>
      </c>
      <c r="E56" s="204">
        <v>45789</v>
      </c>
      <c r="F56" s="203" t="s">
        <v>179</v>
      </c>
      <c r="G56" s="205">
        <f>+E56+5</f>
        <v>45794</v>
      </c>
    </row>
    <row r="58" spans="2:9" ht="15.75" thickBot="1" x14ac:dyDescent="0.3">
      <c r="C58">
        <f>+SUM(C60:C64)</f>
        <v>12</v>
      </c>
    </row>
    <row r="59" spans="2:9" ht="15.75" thickBot="1" x14ac:dyDescent="0.3">
      <c r="B59" s="206" t="s">
        <v>180</v>
      </c>
      <c r="C59" s="207" t="s">
        <v>141</v>
      </c>
      <c r="D59" s="207" t="s">
        <v>170</v>
      </c>
      <c r="E59" s="207" t="s">
        <v>171</v>
      </c>
      <c r="F59" s="207" t="s">
        <v>172</v>
      </c>
      <c r="G59" s="207" t="s">
        <v>173</v>
      </c>
      <c r="H59" s="207" t="s">
        <v>174</v>
      </c>
      <c r="I59" s="208" t="s">
        <v>175</v>
      </c>
    </row>
    <row r="60" spans="2:9" x14ac:dyDescent="0.25">
      <c r="B60" s="196">
        <f>+E56</f>
        <v>45789</v>
      </c>
      <c r="C60" s="191">
        <f>+SUM(D60:I60)</f>
        <v>0</v>
      </c>
      <c r="D60" s="191">
        <f>+COUNTIFS(registro_solicitudes[Fecha],'Informe Semanal'!$B60,registro_solicitudes[Responsable],'Informe Semanal'!D$59)</f>
        <v>0</v>
      </c>
      <c r="E60" s="191">
        <f>+COUNTIFS(registro_solicitudes[Fecha],'Informe Semanal'!$B60,registro_solicitudes[Responsable],'Informe Semanal'!E$59)</f>
        <v>0</v>
      </c>
      <c r="F60" s="191">
        <f>+COUNTIFS(registro_solicitudes[Fecha],'Informe Semanal'!$B60,registro_solicitudes[Responsable],'Informe Semanal'!F$59)</f>
        <v>0</v>
      </c>
      <c r="G60" s="191">
        <f>+COUNTIFS(registro_solicitudes[Fecha],'Informe Semanal'!$B60,registro_solicitudes[Responsable],'Informe Semanal'!G$59)</f>
        <v>0</v>
      </c>
      <c r="H60" s="191">
        <f>+COUNTIFS(registro_solicitudes[Fecha],'Informe Semanal'!$B60,registro_solicitudes[Responsable],'Informe Semanal'!H$59)</f>
        <v>0</v>
      </c>
      <c r="I60" s="197">
        <f>+COUNTIFS(registro_solicitudes[Fecha],'Informe Semanal'!$B60,registro_solicitudes[Responsable],'Informe Semanal'!I$59)</f>
        <v>0</v>
      </c>
    </row>
    <row r="61" spans="2:9" x14ac:dyDescent="0.25">
      <c r="B61" s="196">
        <f>+B60+1</f>
        <v>45790</v>
      </c>
      <c r="C61" s="191">
        <f t="shared" ref="C61:C64" si="4">+SUM(D61:I61)</f>
        <v>5</v>
      </c>
      <c r="D61" s="191">
        <f>+COUNTIFS(registro_solicitudes[Fecha],'Informe Semanal'!$B61,registro_solicitudes[Responsable],'Informe Semanal'!D$59)</f>
        <v>0</v>
      </c>
      <c r="E61" s="191">
        <f>+COUNTIFS(registro_solicitudes[Fecha],'Informe Semanal'!$B61,registro_solicitudes[Responsable],'Informe Semanal'!E$59)</f>
        <v>0</v>
      </c>
      <c r="F61" s="191">
        <f>+COUNTIFS(registro_solicitudes[Fecha],'Informe Semanal'!$B61,registro_solicitudes[Responsable],'Informe Semanal'!F$59)</f>
        <v>5</v>
      </c>
      <c r="G61" s="191">
        <f>+COUNTIFS(registro_solicitudes[Fecha],'Informe Semanal'!$B61,registro_solicitudes[Responsable],'Informe Semanal'!G$59)</f>
        <v>0</v>
      </c>
      <c r="H61" s="191">
        <f>+COUNTIFS(registro_solicitudes[Fecha],'Informe Semanal'!$B61,registro_solicitudes[Responsable],'Informe Semanal'!H$59)</f>
        <v>0</v>
      </c>
      <c r="I61" s="197">
        <f>+COUNTIFS(registro_solicitudes[Fecha],'Informe Semanal'!$B61,registro_solicitudes[Responsable],'Informe Semanal'!I$59)</f>
        <v>0</v>
      </c>
    </row>
    <row r="62" spans="2:9" x14ac:dyDescent="0.25">
      <c r="B62" s="196">
        <f>+B61+1</f>
        <v>45791</v>
      </c>
      <c r="C62" s="191">
        <f t="shared" si="4"/>
        <v>3</v>
      </c>
      <c r="D62" s="191">
        <f>+COUNTIFS(registro_solicitudes[Fecha],'Informe Semanal'!$B62,registro_solicitudes[Responsable],'Informe Semanal'!D$59)</f>
        <v>0</v>
      </c>
      <c r="E62" s="191">
        <f>+COUNTIFS(registro_solicitudes[Fecha],'Informe Semanal'!$B62,registro_solicitudes[Responsable],'Informe Semanal'!E$59)</f>
        <v>0</v>
      </c>
      <c r="F62" s="191">
        <f>+COUNTIFS(registro_solicitudes[Fecha],'Informe Semanal'!$B62,registro_solicitudes[Responsable],'Informe Semanal'!F$59)</f>
        <v>1</v>
      </c>
      <c r="G62" s="191">
        <f>+COUNTIFS(registro_solicitudes[Fecha],'Informe Semanal'!$B62,registro_solicitudes[Responsable],'Informe Semanal'!G$59)</f>
        <v>2</v>
      </c>
      <c r="H62" s="191">
        <f>+COUNTIFS(registro_solicitudes[Fecha],'Informe Semanal'!$B62,registro_solicitudes[Responsable],'Informe Semanal'!H$59)</f>
        <v>0</v>
      </c>
      <c r="I62" s="197">
        <f>+COUNTIFS(registro_solicitudes[Fecha],'Informe Semanal'!$B62,registro_solicitudes[Responsable],'Informe Semanal'!I$59)</f>
        <v>0</v>
      </c>
    </row>
    <row r="63" spans="2:9" x14ac:dyDescent="0.25">
      <c r="B63" s="196">
        <f>+B62+1</f>
        <v>45792</v>
      </c>
      <c r="C63" s="191">
        <f t="shared" si="4"/>
        <v>1</v>
      </c>
      <c r="D63" s="191">
        <f>+COUNTIFS(registro_solicitudes[Fecha],'Informe Semanal'!$B63,registro_solicitudes[Responsable],'Informe Semanal'!D$59)</f>
        <v>0</v>
      </c>
      <c r="E63" s="191">
        <f>+COUNTIFS(registro_solicitudes[Fecha],'Informe Semanal'!$B63,registro_solicitudes[Responsable],'Informe Semanal'!E$59)</f>
        <v>0</v>
      </c>
      <c r="F63" s="191">
        <f>+COUNTIFS(registro_solicitudes[Fecha],'Informe Semanal'!$B63,registro_solicitudes[Responsable],'Informe Semanal'!F$59)</f>
        <v>1</v>
      </c>
      <c r="G63" s="191">
        <f>+COUNTIFS(registro_solicitudes[Fecha],'Informe Semanal'!$B63,registro_solicitudes[Responsable],'Informe Semanal'!G$59)</f>
        <v>0</v>
      </c>
      <c r="H63" s="191">
        <f>+COUNTIFS(registro_solicitudes[Fecha],'Informe Semanal'!$B63,registro_solicitudes[Responsable],'Informe Semanal'!H$59)</f>
        <v>0</v>
      </c>
      <c r="I63" s="197">
        <f>+COUNTIFS(registro_solicitudes[Fecha],'Informe Semanal'!$B63,registro_solicitudes[Responsable],'Informe Semanal'!I$59)</f>
        <v>0</v>
      </c>
    </row>
    <row r="64" spans="2:9" ht="15.75" thickBot="1" x14ac:dyDescent="0.3">
      <c r="B64" s="198">
        <f>+B63+1</f>
        <v>45793</v>
      </c>
      <c r="C64" s="191">
        <f t="shared" si="4"/>
        <v>3</v>
      </c>
      <c r="D64" s="194">
        <f>+COUNTIFS(registro_solicitudes[Fecha],'Informe Semanal'!$B64,registro_solicitudes[Responsable],'Informe Semanal'!D$59)</f>
        <v>0</v>
      </c>
      <c r="E64" s="194">
        <f>+COUNTIFS(registro_solicitudes[Fecha],'Informe Semanal'!$B64,registro_solicitudes[Responsable],'Informe Semanal'!E$59)</f>
        <v>1</v>
      </c>
      <c r="F64" s="194">
        <f>+COUNTIFS(registro_solicitudes[Fecha],'Informe Semanal'!$B64,registro_solicitudes[Responsable],'Informe Semanal'!F$59)</f>
        <v>0</v>
      </c>
      <c r="G64" s="194">
        <f>+COUNTIFS(registro_solicitudes[Fecha],'Informe Semanal'!$B64,registro_solicitudes[Responsable],'Informe Semanal'!G$59)</f>
        <v>2</v>
      </c>
      <c r="H64" s="194">
        <f>+COUNTIFS(registro_solicitudes[Fecha],'Informe Semanal'!$B64,registro_solicitudes[Responsable],'Informe Semanal'!H$59)</f>
        <v>0</v>
      </c>
      <c r="I64" s="195">
        <f>+COUNTIFS(registro_solicitudes[Fecha],'Informe Semanal'!$B64,registro_solicitudes[Responsable],'Informe Semanal'!I$59)</f>
        <v>0</v>
      </c>
    </row>
    <row r="66" s="192" customFormat="1" x14ac:dyDescent="0.25"/>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731F0F-6E92-4813-9801-BD042A86D665}">
  <sheetPr codeName="Hoja7"/>
  <dimension ref="A2:Y579"/>
  <sheetViews>
    <sheetView showGridLines="0" tabSelected="1" topLeftCell="E1" zoomScale="85" zoomScaleNormal="85" workbookViewId="0">
      <pane ySplit="6" topLeftCell="A505" activePane="bottomLeft" state="frozen"/>
      <selection pane="bottomLeft" activeCell="L545" sqref="L545"/>
    </sheetView>
  </sheetViews>
  <sheetFormatPr baseColWidth="10" defaultColWidth="11.42578125" defaultRowHeight="15.75" x14ac:dyDescent="0.25"/>
  <cols>
    <col min="1" max="1" width="7.7109375" style="46" bestFit="1" customWidth="1"/>
    <col min="2" max="2" width="33.140625" style="46" bestFit="1" customWidth="1"/>
    <col min="3" max="3" width="23.140625" style="46" bestFit="1" customWidth="1"/>
    <col min="4" max="4" width="18" style="46" customWidth="1"/>
    <col min="5" max="5" width="29.7109375" style="152" customWidth="1"/>
    <col min="6" max="6" width="33.85546875" style="152" customWidth="1"/>
    <col min="7" max="7" width="28.85546875" style="46" customWidth="1"/>
    <col min="8" max="8" width="13.85546875" style="46" customWidth="1"/>
    <col min="9" max="9" width="31.5703125" style="46" customWidth="1"/>
    <col min="10" max="10" width="23.140625" style="46" bestFit="1" customWidth="1"/>
    <col min="11" max="11" width="18.7109375" style="46" customWidth="1"/>
    <col min="12" max="12" width="24.5703125" style="46" customWidth="1"/>
    <col min="13" max="13" width="29.42578125" style="46" bestFit="1" customWidth="1"/>
    <col min="14" max="14" width="21.140625" style="75" bestFit="1" customWidth="1"/>
    <col min="15" max="15" width="25.85546875" style="48" bestFit="1" customWidth="1"/>
    <col min="16" max="16" width="18.7109375" style="48" bestFit="1" customWidth="1"/>
    <col min="17" max="18" width="25.42578125" style="46" customWidth="1"/>
    <col min="19" max="19" width="17.85546875" style="46" bestFit="1" customWidth="1"/>
    <col min="20" max="20" width="22.140625" style="48" customWidth="1"/>
    <col min="21" max="21" width="27.28515625" style="46" bestFit="1" customWidth="1"/>
    <col min="22" max="22" width="18.42578125" style="46" bestFit="1" customWidth="1"/>
    <col min="23" max="23" width="82.42578125" style="48" bestFit="1" customWidth="1"/>
    <col min="24" max="24" width="11.85546875" style="48" bestFit="1" customWidth="1"/>
    <col min="25" max="25" width="11.85546875" style="46" bestFit="1" customWidth="1"/>
    <col min="26" max="16384" width="11.42578125" style="46"/>
  </cols>
  <sheetData>
    <row r="2" spans="1:25" x14ac:dyDescent="0.25">
      <c r="M2" s="48">
        <v>45784</v>
      </c>
    </row>
    <row r="3" spans="1:25" x14ac:dyDescent="0.25">
      <c r="M3" s="48">
        <v>45784</v>
      </c>
    </row>
    <row r="4" spans="1:25" x14ac:dyDescent="0.25">
      <c r="A4" s="150" t="s">
        <v>181</v>
      </c>
      <c r="J4" s="267" t="s">
        <v>182</v>
      </c>
      <c r="K4" s="267"/>
      <c r="L4" s="267"/>
      <c r="M4" s="268">
        <v>45784</v>
      </c>
      <c r="N4" s="268"/>
      <c r="O4" s="268"/>
      <c r="P4" s="55"/>
      <c r="Q4" s="267" t="s">
        <v>146</v>
      </c>
      <c r="R4" s="267"/>
      <c r="S4" s="267"/>
      <c r="T4" s="267"/>
      <c r="U4" s="267" t="s">
        <v>183</v>
      </c>
      <c r="V4" s="267"/>
      <c r="W4" s="267"/>
    </row>
    <row r="5" spans="1:25" x14ac:dyDescent="0.25">
      <c r="A5" s="150"/>
      <c r="J5" s="54"/>
      <c r="K5" s="54"/>
      <c r="L5" s="54"/>
      <c r="M5" s="55"/>
      <c r="N5" s="55"/>
      <c r="O5" s="55"/>
      <c r="P5" s="55"/>
      <c r="Q5" s="54"/>
      <c r="R5" s="54"/>
      <c r="S5" s="54"/>
      <c r="T5" s="54"/>
      <c r="U5" s="54"/>
      <c r="V5" s="54"/>
      <c r="W5" s="54"/>
      <c r="Y5" s="44"/>
    </row>
    <row r="6" spans="1:25" s="44" customFormat="1" x14ac:dyDescent="0.25">
      <c r="A6" s="44" t="s">
        <v>184</v>
      </c>
      <c r="B6" s="44" t="s">
        <v>1</v>
      </c>
      <c r="C6" s="44" t="s">
        <v>185</v>
      </c>
      <c r="D6" s="44" t="s">
        <v>186</v>
      </c>
      <c r="E6" s="54" t="s">
        <v>187</v>
      </c>
      <c r="F6" s="54" t="s">
        <v>188</v>
      </c>
      <c r="G6" s="44" t="s">
        <v>189</v>
      </c>
      <c r="H6" s="44" t="s">
        <v>190</v>
      </c>
      <c r="I6" s="44" t="s">
        <v>6</v>
      </c>
      <c r="J6" s="44" t="s">
        <v>191</v>
      </c>
      <c r="K6" s="44" t="s">
        <v>192</v>
      </c>
      <c r="L6" s="44" t="s">
        <v>193</v>
      </c>
      <c r="M6" s="44" t="s">
        <v>194</v>
      </c>
      <c r="N6" s="77" t="s">
        <v>195</v>
      </c>
      <c r="O6" s="44" t="s">
        <v>196</v>
      </c>
      <c r="P6" s="44" t="s">
        <v>197</v>
      </c>
      <c r="Q6" s="44" t="s">
        <v>198</v>
      </c>
      <c r="R6" s="44" t="s">
        <v>199</v>
      </c>
      <c r="S6" s="44" t="s">
        <v>200</v>
      </c>
      <c r="T6" s="44" t="s">
        <v>201</v>
      </c>
      <c r="U6" s="45" t="s">
        <v>202</v>
      </c>
      <c r="V6" s="45" t="s">
        <v>203</v>
      </c>
      <c r="W6" s="45" t="s">
        <v>204</v>
      </c>
    </row>
    <row r="7" spans="1:25" ht="13.5" hidden="1" customHeight="1" x14ac:dyDescent="0.25">
      <c r="A7" s="152">
        <v>1</v>
      </c>
      <c r="B7" s="46" t="s">
        <v>205</v>
      </c>
      <c r="C7" s="46" t="str">
        <f>+IF(EstadoSolicitudes[[#This Row],[Aprobado OR]]="Aprobado",EstadoSolicitudes[[#This Row],[Aprobado OR]],
IF(EstadoSolicitudes[[#This Row],[Aprobado OR]]="Cancelado",EstadoSolicitudes[[#This Row],[Aprobado OR]],
IF(EstadoSolicitudes[[#This Row],[Cargue estudio al OR]]&gt;1,"Verificación Técnica",
IF(EstadoSolicitudes[[#This Row],[Fecha solicitud estudio]]&gt;1,"Estudio de conexión",
IF(EstadoSolicitudes[[#This Row],[Insumos revisados]]="No",IF(EstadoSolicitudes[[#This Row],[Fecha entrega insumos OR]]&gt;1,"Evolti","Espera de insumos"),
"Evolti")))))</f>
        <v>Aprobado</v>
      </c>
      <c r="D7" s="46" t="s">
        <v>153</v>
      </c>
      <c r="E7" s="152" t="s">
        <v>206</v>
      </c>
      <c r="G7" s="46" t="s">
        <v>207</v>
      </c>
      <c r="H7" s="46">
        <v>901683843</v>
      </c>
      <c r="I7" s="74" t="s">
        <v>208</v>
      </c>
      <c r="J7" s="48">
        <v>45252</v>
      </c>
      <c r="K7" s="49">
        <v>1501</v>
      </c>
      <c r="L7" s="50" t="s">
        <v>209</v>
      </c>
      <c r="M7" s="48">
        <v>45259</v>
      </c>
      <c r="N7" s="75" t="s">
        <v>210</v>
      </c>
      <c r="O7" s="64">
        <v>45521</v>
      </c>
      <c r="P7" s="48" t="s">
        <v>167</v>
      </c>
      <c r="Q7" s="48">
        <v>45261</v>
      </c>
      <c r="R7" s="72"/>
      <c r="S7" s="48">
        <v>45261</v>
      </c>
      <c r="T7" s="46" t="s">
        <v>143</v>
      </c>
      <c r="U7" s="48">
        <v>45328</v>
      </c>
      <c r="V7" s="48"/>
      <c r="X7" s="44"/>
    </row>
    <row r="8" spans="1:25" hidden="1" x14ac:dyDescent="0.25">
      <c r="A8" s="152">
        <v>2</v>
      </c>
      <c r="B8" s="46" t="s">
        <v>211</v>
      </c>
      <c r="C8" s="46" t="str">
        <f>+IF(EstadoSolicitudes[[#This Row],[Aprobado OR]]="Aprobado",EstadoSolicitudes[[#This Row],[Aprobado OR]],
IF(EstadoSolicitudes[[#This Row],[Aprobado OR]]="Cancelado",EstadoSolicitudes[[#This Row],[Aprobado OR]],
IF(EstadoSolicitudes[[#This Row],[Cargue estudio al OR]]&gt;1,"Verificación Técnica",
IF(EstadoSolicitudes[[#This Row],[Fecha solicitud estudio]]&gt;1,"Estudio de conexión",
IF(EstadoSolicitudes[[#This Row],[Insumos revisados]]="No",IF(EstadoSolicitudes[[#This Row],[Fecha entrega insumos OR]]&gt;1,"Evolti","Espera de insumos"),
"Evolti")))))</f>
        <v>Aprobado</v>
      </c>
      <c r="D8" s="46" t="s">
        <v>153</v>
      </c>
      <c r="E8" s="152" t="s">
        <v>206</v>
      </c>
      <c r="G8" s="46" t="s">
        <v>212</v>
      </c>
      <c r="H8" s="46">
        <v>901683843</v>
      </c>
      <c r="I8" s="74" t="s">
        <v>208</v>
      </c>
      <c r="J8" s="48">
        <v>45394</v>
      </c>
      <c r="K8" s="49">
        <v>1961</v>
      </c>
      <c r="L8" s="50">
        <v>98143</v>
      </c>
      <c r="M8" s="48">
        <v>45426</v>
      </c>
      <c r="N8" s="75" t="s">
        <v>210</v>
      </c>
      <c r="O8" s="64">
        <v>45426</v>
      </c>
      <c r="P8" s="48" t="s">
        <v>165</v>
      </c>
      <c r="Q8" s="48">
        <v>45426</v>
      </c>
      <c r="R8" s="72"/>
      <c r="S8" s="48">
        <v>45426</v>
      </c>
      <c r="T8" s="46" t="s">
        <v>143</v>
      </c>
      <c r="U8" s="48">
        <v>45488</v>
      </c>
      <c r="V8" s="48">
        <f>+EstadoSolicitudes[[#This Row],[Fecha respuesta final OR]]+180+90</f>
        <v>45758</v>
      </c>
      <c r="W8" s="48" t="s">
        <v>213</v>
      </c>
      <c r="X8" s="44"/>
    </row>
    <row r="9" spans="1:25" hidden="1" x14ac:dyDescent="0.25">
      <c r="A9" s="152">
        <v>3</v>
      </c>
      <c r="B9" s="46" t="s">
        <v>214</v>
      </c>
      <c r="C9" s="46" t="str">
        <f>+IF(EstadoSolicitudes[[#This Row],[Aprobado OR]]="Aprobado",EstadoSolicitudes[[#This Row],[Aprobado OR]],
IF(EstadoSolicitudes[[#This Row],[Aprobado OR]]="Cancelado",EstadoSolicitudes[[#This Row],[Aprobado OR]],
IF(EstadoSolicitudes[[#This Row],[Cargue estudio al OR]]&gt;1,"Verificación Técnica",
IF(EstadoSolicitudes[[#This Row],[Fecha solicitud estudio]]&gt;1,"Estudio de conexión",
IF(EstadoSolicitudes[[#This Row],[Insumos revisados]]="No",IF(EstadoSolicitudes[[#This Row],[Fecha entrega insumos OR]]&gt;1,"Evolti","Espera de insumos"),
"Evolti")))))</f>
        <v>Aprobado</v>
      </c>
      <c r="D9" s="46" t="s">
        <v>153</v>
      </c>
      <c r="E9" s="152" t="s">
        <v>206</v>
      </c>
      <c r="G9" s="46" t="s">
        <v>215</v>
      </c>
      <c r="H9" s="46">
        <v>901683843</v>
      </c>
      <c r="I9" s="74" t="s">
        <v>216</v>
      </c>
      <c r="J9" s="48">
        <v>45404</v>
      </c>
      <c r="K9" s="49">
        <v>2002</v>
      </c>
      <c r="L9" s="50" t="s">
        <v>217</v>
      </c>
      <c r="M9" s="48">
        <v>45435</v>
      </c>
      <c r="N9" s="75" t="s">
        <v>210</v>
      </c>
      <c r="O9" s="64">
        <v>45463</v>
      </c>
      <c r="P9" s="48" t="s">
        <v>165</v>
      </c>
      <c r="Q9" s="48">
        <v>45463</v>
      </c>
      <c r="R9" s="72"/>
      <c r="S9" s="48">
        <v>45463</v>
      </c>
      <c r="T9" s="46" t="s">
        <v>143</v>
      </c>
      <c r="U9" s="64">
        <v>45524</v>
      </c>
      <c r="V9" s="48">
        <f>+EstadoSolicitudes[[#This Row],[Fecha respuesta final OR]]+180+90</f>
        <v>45794</v>
      </c>
      <c r="X9" s="44"/>
    </row>
    <row r="10" spans="1:25" hidden="1" x14ac:dyDescent="0.25">
      <c r="A10" s="152">
        <v>4</v>
      </c>
      <c r="B10" s="46" t="s">
        <v>218</v>
      </c>
      <c r="C10" s="46" t="str">
        <f>+IF(EstadoSolicitudes[[#This Row],[Aprobado OR]]="Aprobado",EstadoSolicitudes[[#This Row],[Aprobado OR]],
IF(EstadoSolicitudes[[#This Row],[Aprobado OR]]="Cancelado",EstadoSolicitudes[[#This Row],[Aprobado OR]],
IF(EstadoSolicitudes[[#This Row],[Cargue estudio al OR]]&gt;1,"Verificación Técnica",
IF(EstadoSolicitudes[[#This Row],[Fecha solicitud estudio]]&gt;1,"Estudio de conexión",
IF(EstadoSolicitudes[[#This Row],[Insumos revisados]]="No",IF(EstadoSolicitudes[[#This Row],[Fecha entrega insumos OR]]&gt;1,"Evolti","Espera de insumos"),
"Evolti")))))</f>
        <v>Cancelado</v>
      </c>
      <c r="D10" s="46" t="s">
        <v>153</v>
      </c>
      <c r="G10" s="46" t="s">
        <v>219</v>
      </c>
      <c r="H10" s="46">
        <v>901801262</v>
      </c>
      <c r="I10" s="74" t="s">
        <v>216</v>
      </c>
      <c r="J10" s="48">
        <v>45404</v>
      </c>
      <c r="K10" s="49">
        <v>2003</v>
      </c>
      <c r="L10" s="50" t="s">
        <v>217</v>
      </c>
      <c r="M10" s="48">
        <v>45469</v>
      </c>
      <c r="N10" s="75" t="s">
        <v>210</v>
      </c>
      <c r="O10" s="64">
        <v>45524</v>
      </c>
      <c r="Q10" s="48">
        <v>45525</v>
      </c>
      <c r="R10" s="72"/>
      <c r="S10" s="48">
        <v>45532</v>
      </c>
      <c r="T10" s="46" t="s">
        <v>148</v>
      </c>
      <c r="U10" s="48"/>
      <c r="V10" s="48">
        <f>+EstadoSolicitudes[[#This Row],[Fecha respuesta final OR]]+180+90</f>
        <v>270</v>
      </c>
      <c r="W10" s="48" t="s">
        <v>220</v>
      </c>
      <c r="X10" s="44"/>
    </row>
    <row r="11" spans="1:25" hidden="1" x14ac:dyDescent="0.25">
      <c r="A11" s="152">
        <v>5</v>
      </c>
      <c r="B11" s="46" t="s">
        <v>221</v>
      </c>
      <c r="C11" s="46" t="str">
        <f>+IF(EstadoSolicitudes[[#This Row],[Aprobado OR]]="Aprobado",EstadoSolicitudes[[#This Row],[Aprobado OR]],
IF(EstadoSolicitudes[[#This Row],[Aprobado OR]]="Cancelado",EstadoSolicitudes[[#This Row],[Aprobado OR]],
IF(EstadoSolicitudes[[#This Row],[Cargue estudio al OR]]&gt;1,"Verificación Técnica",
IF(EstadoSolicitudes[[#This Row],[Fecha solicitud estudio]]&gt;1,"Estudio de conexión",
IF(EstadoSolicitudes[[#This Row],[Insumos revisados]]="No",IF(EstadoSolicitudes[[#This Row],[Fecha entrega insumos OR]]&gt;1,"Evolti","Espera de insumos"),
"Evolti")))))</f>
        <v>Cancelado</v>
      </c>
      <c r="D11" s="46" t="s">
        <v>153</v>
      </c>
      <c r="G11" s="46" t="s">
        <v>222</v>
      </c>
      <c r="H11" s="46">
        <v>9018225616</v>
      </c>
      <c r="I11" s="47" t="s">
        <v>223</v>
      </c>
      <c r="J11" s="48">
        <v>45513</v>
      </c>
      <c r="K11" s="49">
        <v>2441</v>
      </c>
      <c r="L11" s="50" t="s">
        <v>224</v>
      </c>
      <c r="M11" s="48">
        <v>45516</v>
      </c>
      <c r="N11" s="75" t="s">
        <v>210</v>
      </c>
      <c r="O11" s="64">
        <v>45516</v>
      </c>
      <c r="Q11" s="48">
        <v>45516</v>
      </c>
      <c r="R11" s="72"/>
      <c r="S11" s="48">
        <v>45532</v>
      </c>
      <c r="T11" s="46" t="s">
        <v>148</v>
      </c>
      <c r="U11" s="48"/>
      <c r="V11" s="48">
        <f>+EstadoSolicitudes[[#This Row],[Fecha respuesta final OR]]+180+90</f>
        <v>270</v>
      </c>
      <c r="W11" s="48" t="s">
        <v>225</v>
      </c>
      <c r="X11" s="46"/>
    </row>
    <row r="12" spans="1:25" hidden="1" x14ac:dyDescent="0.25">
      <c r="A12" s="152">
        <v>6</v>
      </c>
      <c r="B12" s="46" t="s">
        <v>226</v>
      </c>
      <c r="C12" s="46" t="str">
        <f>+IF(EstadoSolicitudes[[#This Row],[Aprobado OR]]="Aprobado",EstadoSolicitudes[[#This Row],[Aprobado OR]],
IF(EstadoSolicitudes[[#This Row],[Aprobado OR]]="Cancelado",EstadoSolicitudes[[#This Row],[Aprobado OR]],
IF(EstadoSolicitudes[[#This Row],[Cargue estudio al OR]]&gt;1,"Verificación Técnica",
IF(EstadoSolicitudes[[#This Row],[Fecha solicitud estudio]]&gt;1,"Estudio de conexión",
IF(EstadoSolicitudes[[#This Row],[Insumos revisados]]="No",IF(EstadoSolicitudes[[#This Row],[Fecha entrega insumos OR]]&gt;1,"Evolti","Espera de insumos"),
"Evolti")))))</f>
        <v>Cancelado</v>
      </c>
      <c r="D12" s="46" t="s">
        <v>153</v>
      </c>
      <c r="G12" s="46" t="s">
        <v>227</v>
      </c>
      <c r="H12" s="46">
        <v>901432582</v>
      </c>
      <c r="I12" s="47" t="s">
        <v>223</v>
      </c>
      <c r="J12" s="48">
        <v>45517</v>
      </c>
      <c r="K12" s="49" t="s">
        <v>228</v>
      </c>
      <c r="L12" s="50" t="s">
        <v>224</v>
      </c>
      <c r="M12" s="48"/>
      <c r="N12" s="75" t="s">
        <v>229</v>
      </c>
      <c r="R12" s="72"/>
      <c r="S12" s="48"/>
      <c r="T12" s="46" t="s">
        <v>148</v>
      </c>
      <c r="U12" s="48"/>
      <c r="V12" s="48"/>
      <c r="W12" s="48" t="s">
        <v>230</v>
      </c>
      <c r="X12" s="46"/>
    </row>
    <row r="13" spans="1:25" hidden="1" x14ac:dyDescent="0.25">
      <c r="A13" s="152">
        <v>7</v>
      </c>
      <c r="B13" s="46" t="s">
        <v>231</v>
      </c>
      <c r="C13" s="46" t="str">
        <f>+IF(EstadoSolicitudes[[#This Row],[Aprobado OR]]="Aprobado",EstadoSolicitudes[[#This Row],[Aprobado OR]],
IF(EstadoSolicitudes[[#This Row],[Aprobado OR]]="Cancelado",EstadoSolicitudes[[#This Row],[Aprobado OR]],
IF(EstadoSolicitudes[[#This Row],[Cargue estudio al OR]]&gt;1,"Verificación Técnica",
IF(EstadoSolicitudes[[#This Row],[Fecha solicitud estudio]]&gt;1,"Estudio de conexión",
IF(EstadoSolicitudes[[#This Row],[Insumos revisados]]="No",IF(EstadoSolicitudes[[#This Row],[Fecha entrega insumos OR]]&gt;1,"Evolti","Espera de insumos"),
"Evolti")))))</f>
        <v>Estudio de conexión</v>
      </c>
      <c r="D13" s="46" t="s">
        <v>154</v>
      </c>
      <c r="G13" s="46" t="s">
        <v>227</v>
      </c>
      <c r="H13" s="46">
        <v>901432582</v>
      </c>
      <c r="I13" s="56" t="s">
        <v>232</v>
      </c>
      <c r="J13" s="48">
        <v>45526</v>
      </c>
      <c r="K13" s="49">
        <v>21677</v>
      </c>
      <c r="L13" s="50"/>
      <c r="M13" s="48">
        <v>45569</v>
      </c>
      <c r="N13" s="75" t="s">
        <v>210</v>
      </c>
      <c r="O13" s="48">
        <v>45569</v>
      </c>
      <c r="P13" s="48" t="s">
        <v>166</v>
      </c>
      <c r="R13" s="72" t="s">
        <v>233</v>
      </c>
      <c r="S13" s="48"/>
      <c r="T13" s="46" t="s">
        <v>145</v>
      </c>
      <c r="U13" s="48"/>
      <c r="V13" s="48"/>
      <c r="X13" s="46"/>
    </row>
    <row r="14" spans="1:25" hidden="1" x14ac:dyDescent="0.25">
      <c r="A14" s="152">
        <f>+A13+1</f>
        <v>8</v>
      </c>
      <c r="B14" s="46" t="s">
        <v>234</v>
      </c>
      <c r="C14" s="46" t="str">
        <f>+IF(EstadoSolicitudes[[#This Row],[Aprobado OR]]="Aprobado",EstadoSolicitudes[[#This Row],[Aprobado OR]],
IF(EstadoSolicitudes[[#This Row],[Aprobado OR]]="Cancelado",EstadoSolicitudes[[#This Row],[Aprobado OR]],
IF(EstadoSolicitudes[[#This Row],[Cargue estudio al OR]]&gt;1,"Verificación Técnica",
IF(EstadoSolicitudes[[#This Row],[Fecha solicitud estudio]]&gt;1,"Estudio de conexión",
IF(EstadoSolicitudes[[#This Row],[Insumos revisados]]="No",IF(EstadoSolicitudes[[#This Row],[Fecha entrega insumos OR]]&gt;1,"Evolti","Espera de insumos"),
"Evolti")))))</f>
        <v>Estudio de conexión</v>
      </c>
      <c r="D14" s="46" t="s">
        <v>154</v>
      </c>
      <c r="G14" s="46" t="s">
        <v>227</v>
      </c>
      <c r="H14" s="46">
        <v>901432582</v>
      </c>
      <c r="I14" s="56" t="s">
        <v>232</v>
      </c>
      <c r="J14" s="48">
        <v>45526</v>
      </c>
      <c r="K14" s="49">
        <v>21682</v>
      </c>
      <c r="L14" s="50"/>
      <c r="M14" s="48">
        <v>45569</v>
      </c>
      <c r="N14" s="75" t="s">
        <v>210</v>
      </c>
      <c r="O14" s="48">
        <v>45569</v>
      </c>
      <c r="P14" s="48" t="s">
        <v>166</v>
      </c>
      <c r="R14" s="72" t="s">
        <v>235</v>
      </c>
      <c r="S14" s="48"/>
      <c r="T14" s="46" t="s">
        <v>145</v>
      </c>
      <c r="U14" s="48"/>
      <c r="V14" s="48"/>
      <c r="X14" s="46"/>
    </row>
    <row r="15" spans="1:25" hidden="1" x14ac:dyDescent="0.25">
      <c r="A15" s="152">
        <f>+A14+1</f>
        <v>9</v>
      </c>
      <c r="B15" s="46" t="s">
        <v>236</v>
      </c>
      <c r="C15" s="46" t="str">
        <f>+IF(EstadoSolicitudes[[#This Row],[Aprobado OR]]="Aprobado",EstadoSolicitudes[[#This Row],[Aprobado OR]],
IF(EstadoSolicitudes[[#This Row],[Aprobado OR]]="Cancelado",EstadoSolicitudes[[#This Row],[Aprobado OR]],
IF(EstadoSolicitudes[[#This Row],[Cargue estudio al OR]]&gt;1,"Verificación Técnica",
IF(EstadoSolicitudes[[#This Row],[Fecha solicitud estudio]]&gt;1,"Estudio de conexión",
IF(EstadoSolicitudes[[#This Row],[Insumos revisados]]="No",IF(EstadoSolicitudes[[#This Row],[Fecha entrega insumos OR]]&gt;1,"Evolti","Espera de insumos"),
"Evolti")))))</f>
        <v>Estudio de conexión</v>
      </c>
      <c r="D15" s="46" t="s">
        <v>155</v>
      </c>
      <c r="G15" s="46" t="s">
        <v>227</v>
      </c>
      <c r="H15" s="46">
        <v>901432582</v>
      </c>
      <c r="I15" s="56" t="s">
        <v>232</v>
      </c>
      <c r="J15" s="48">
        <v>45530</v>
      </c>
      <c r="K15" s="49">
        <v>28172</v>
      </c>
      <c r="L15" s="50"/>
      <c r="M15" s="48">
        <v>45545</v>
      </c>
      <c r="N15" s="75" t="s">
        <v>210</v>
      </c>
      <c r="O15" s="48">
        <v>45546</v>
      </c>
      <c r="P15" s="48" t="s">
        <v>165</v>
      </c>
      <c r="R15" s="72" t="s">
        <v>237</v>
      </c>
      <c r="S15" s="48"/>
      <c r="T15" s="46" t="s">
        <v>145</v>
      </c>
      <c r="U15" s="48"/>
      <c r="V15" s="48"/>
      <c r="W15" s="48" t="s">
        <v>238</v>
      </c>
      <c r="X15" s="46"/>
    </row>
    <row r="16" spans="1:25" hidden="1" x14ac:dyDescent="0.25">
      <c r="A16" s="152">
        <f>+A15+1</f>
        <v>10</v>
      </c>
      <c r="B16" s="46" t="s">
        <v>239</v>
      </c>
      <c r="C16" s="46" t="str">
        <f>+IF(EstadoSolicitudes[[#This Row],[Aprobado OR]]="Aprobado",EstadoSolicitudes[[#This Row],[Aprobado OR]],
IF(EstadoSolicitudes[[#This Row],[Aprobado OR]]="Cancelado",EstadoSolicitudes[[#This Row],[Aprobado OR]],
IF(EstadoSolicitudes[[#This Row],[Cargue estudio al OR]]&gt;1,"Verificación Técnica",
IF(EstadoSolicitudes[[#This Row],[Fecha solicitud estudio]]&gt;1,"Estudio de conexión",
IF(EstadoSolicitudes[[#This Row],[Insumos revisados]]="No",IF(EstadoSolicitudes[[#This Row],[Fecha entrega insumos OR]]&gt;1,"Evolti","Espera de insumos"),
"Evolti")))))</f>
        <v>Estudio de conexión</v>
      </c>
      <c r="D16" s="46" t="s">
        <v>153</v>
      </c>
      <c r="G16" s="46" t="s">
        <v>240</v>
      </c>
      <c r="H16" s="46">
        <v>9018636333</v>
      </c>
      <c r="I16" s="56" t="s">
        <v>232</v>
      </c>
      <c r="J16" s="48">
        <v>45531</v>
      </c>
      <c r="K16" s="49">
        <v>2541</v>
      </c>
      <c r="L16" s="50" t="s">
        <v>241</v>
      </c>
      <c r="M16" s="48">
        <v>45558</v>
      </c>
      <c r="N16" s="75" t="s">
        <v>210</v>
      </c>
      <c r="O16" s="48">
        <v>45566</v>
      </c>
      <c r="P16" s="48" t="s">
        <v>166</v>
      </c>
      <c r="Q16" s="48">
        <v>45572</v>
      </c>
      <c r="R16" s="72"/>
      <c r="S16" s="48"/>
      <c r="T16" s="46" t="s">
        <v>145</v>
      </c>
      <c r="U16" s="48"/>
      <c r="V16" s="48">
        <f>+EstadoSolicitudes[[#This Row],[Fecha respuesta final OR]]+180+90</f>
        <v>270</v>
      </c>
      <c r="X16" s="46"/>
    </row>
    <row r="17" spans="1:24" hidden="1" x14ac:dyDescent="0.25">
      <c r="A17" s="152">
        <f>+A16+1</f>
        <v>11</v>
      </c>
      <c r="B17" s="46" t="s">
        <v>242</v>
      </c>
      <c r="C17" s="46" t="str">
        <f>+IF(EstadoSolicitudes[[#This Row],[Aprobado OR]]="Aprobado",EstadoSolicitudes[[#This Row],[Aprobado OR]],
IF(EstadoSolicitudes[[#This Row],[Aprobado OR]]="Cancelado",EstadoSolicitudes[[#This Row],[Aprobado OR]],
IF(EstadoSolicitudes[[#This Row],[Cargue estudio al OR]]&gt;1,"Verificación Técnica",
IF(EstadoSolicitudes[[#This Row],[Fecha solicitud estudio]]&gt;1,"Estudio de conexión",
IF(EstadoSolicitudes[[#This Row],[Insumos revisados]]="No",IF(EstadoSolicitudes[[#This Row],[Fecha entrega insumos OR]]&gt;1,"Evolti","Espera de insumos"),
"Evolti")))))</f>
        <v>Evolti</v>
      </c>
      <c r="D17" s="46" t="s">
        <v>156</v>
      </c>
      <c r="G17" s="46" t="s">
        <v>227</v>
      </c>
      <c r="H17" s="46">
        <v>901432582</v>
      </c>
      <c r="I17" s="56" t="s">
        <v>232</v>
      </c>
      <c r="J17" s="48">
        <v>45541</v>
      </c>
      <c r="K17" s="49"/>
      <c r="L17" s="50"/>
      <c r="M17" s="48">
        <v>45565</v>
      </c>
      <c r="N17" s="75" t="s">
        <v>229</v>
      </c>
      <c r="P17" s="48" t="s">
        <v>166</v>
      </c>
      <c r="R17" s="72"/>
      <c r="S17" s="48"/>
      <c r="T17" s="46" t="s">
        <v>145</v>
      </c>
      <c r="U17" s="48"/>
      <c r="V17" s="48"/>
      <c r="W17" s="48" t="s">
        <v>243</v>
      </c>
      <c r="X17" s="46"/>
    </row>
    <row r="18" spans="1:24" hidden="1" x14ac:dyDescent="0.25">
      <c r="A18" s="152">
        <f>+A17+1</f>
        <v>12</v>
      </c>
      <c r="B18" s="46" t="s">
        <v>244</v>
      </c>
      <c r="C18" s="46" t="str">
        <f>+IF(EstadoSolicitudes[[#This Row],[Aprobado OR]]="Aprobado",EstadoSolicitudes[[#This Row],[Aprobado OR]],
IF(EstadoSolicitudes[[#This Row],[Aprobado OR]]="Cancelado",EstadoSolicitudes[[#This Row],[Aprobado OR]],
IF(EstadoSolicitudes[[#This Row],[Cargue estudio al OR]]&gt;1,"Verificación Técnica",
IF(EstadoSolicitudes[[#This Row],[Fecha solicitud estudio]]&gt;1,"Estudio de conexión",
IF(EstadoSolicitudes[[#This Row],[Insumos revisados]]="No",IF(EstadoSolicitudes[[#This Row],[Fecha entrega insumos OR]]&gt;1,"Evolti","Espera de insumos"),
"Evolti")))))</f>
        <v>Cancelado</v>
      </c>
      <c r="D18" s="46" t="s">
        <v>151</v>
      </c>
      <c r="G18" s="46" t="s">
        <v>227</v>
      </c>
      <c r="H18" s="46">
        <v>901432582</v>
      </c>
      <c r="I18" s="56" t="s">
        <v>232</v>
      </c>
      <c r="J18" s="48">
        <v>45547</v>
      </c>
      <c r="K18" s="49">
        <v>7984454</v>
      </c>
      <c r="L18" s="50"/>
      <c r="N18" s="75" t="s">
        <v>229</v>
      </c>
      <c r="R18" s="72"/>
      <c r="S18" s="48"/>
      <c r="T18" s="46" t="s">
        <v>148</v>
      </c>
      <c r="U18" s="48"/>
      <c r="V18" s="48"/>
      <c r="W18" s="48" t="s">
        <v>245</v>
      </c>
      <c r="X18" s="46"/>
    </row>
    <row r="19" spans="1:24" hidden="1" x14ac:dyDescent="0.25">
      <c r="A19" s="152">
        <v>13</v>
      </c>
      <c r="B19" s="46" t="s">
        <v>246</v>
      </c>
      <c r="C19" s="46" t="str">
        <f>+IF(EstadoSolicitudes[[#This Row],[Aprobado OR]]="Aprobado",EstadoSolicitudes[[#This Row],[Aprobado OR]],
IF(EstadoSolicitudes[[#This Row],[Aprobado OR]]="Cancelado",EstadoSolicitudes[[#This Row],[Aprobado OR]],
IF(EstadoSolicitudes[[#This Row],[Cargue estudio al OR]]&gt;1,"Verificación Técnica",
IF(EstadoSolicitudes[[#This Row],[Fecha solicitud estudio]]&gt;1,"Estudio de conexión",
IF(EstadoSolicitudes[[#This Row],[Insumos revisados]]="No",IF(EstadoSolicitudes[[#This Row],[Fecha entrega insumos OR]]&gt;1,"Evolti","Espera de insumos"),
"Evolti")))))</f>
        <v>Verificación Técnica</v>
      </c>
      <c r="D19" s="46" t="s">
        <v>153</v>
      </c>
      <c r="E19" s="152" t="s">
        <v>206</v>
      </c>
      <c r="G19" s="46" t="s">
        <v>247</v>
      </c>
      <c r="H19" s="46">
        <v>9018225616</v>
      </c>
      <c r="I19" s="56" t="s">
        <v>232</v>
      </c>
      <c r="J19" s="48">
        <v>45561</v>
      </c>
      <c r="K19" s="49">
        <v>2762</v>
      </c>
      <c r="L19" s="50" t="s">
        <v>241</v>
      </c>
      <c r="M19" s="48"/>
      <c r="N19" s="75" t="s">
        <v>210</v>
      </c>
      <c r="O19" s="48">
        <v>45566</v>
      </c>
      <c r="P19" s="48" t="s">
        <v>165</v>
      </c>
      <c r="Q19" s="48">
        <v>45566</v>
      </c>
      <c r="R19" s="72" t="s">
        <v>248</v>
      </c>
      <c r="S19" s="48">
        <v>45633</v>
      </c>
      <c r="T19" s="46" t="s">
        <v>145</v>
      </c>
      <c r="U19" s="48"/>
      <c r="V19" s="48">
        <f>+EstadoSolicitudes[[#This Row],[Fecha respuesta final OR]]+180+90</f>
        <v>270</v>
      </c>
      <c r="X19" s="46"/>
    </row>
    <row r="20" spans="1:24" hidden="1" x14ac:dyDescent="0.25">
      <c r="A20" s="152">
        <f t="shared" ref="A20:A27" si="0">+A19+1</f>
        <v>14</v>
      </c>
      <c r="B20" s="46" t="s">
        <v>249</v>
      </c>
      <c r="C20" s="46" t="str">
        <f>+IF(EstadoSolicitudes[[#This Row],[Aprobado OR]]="Aprobado",EstadoSolicitudes[[#This Row],[Aprobado OR]],
IF(EstadoSolicitudes[[#This Row],[Aprobado OR]]="Cancelado",EstadoSolicitudes[[#This Row],[Aprobado OR]],
IF(EstadoSolicitudes[[#This Row],[Cargue estudio al OR]]&gt;1,"Verificación Técnica",
IF(EstadoSolicitudes[[#This Row],[Fecha solicitud estudio]]&gt;1,"Estudio de conexión",
IF(EstadoSolicitudes[[#This Row],[Insumos revisados]]="No",IF(EstadoSolicitudes[[#This Row],[Fecha entrega insumos OR]]&gt;1,"Evolti","Espera de insumos"),
"Evolti")))))</f>
        <v>Evolti</v>
      </c>
      <c r="D20" s="46" t="s">
        <v>153</v>
      </c>
      <c r="E20" s="152" t="s">
        <v>206</v>
      </c>
      <c r="G20" s="46" t="s">
        <v>250</v>
      </c>
      <c r="H20" s="46">
        <v>901801262</v>
      </c>
      <c r="I20" s="56" t="s">
        <v>232</v>
      </c>
      <c r="J20" s="48">
        <v>45561</v>
      </c>
      <c r="K20" s="49">
        <v>2782</v>
      </c>
      <c r="L20" s="50" t="s">
        <v>241</v>
      </c>
      <c r="M20" s="48">
        <v>45562</v>
      </c>
      <c r="N20" s="75" t="s">
        <v>210</v>
      </c>
      <c r="P20" s="48" t="s">
        <v>165</v>
      </c>
      <c r="Q20" s="48">
        <v>45562</v>
      </c>
      <c r="R20" s="72" t="s">
        <v>251</v>
      </c>
      <c r="S20" s="48"/>
      <c r="T20" s="46" t="s">
        <v>145</v>
      </c>
      <c r="U20" s="48">
        <v>45730</v>
      </c>
      <c r="V20" s="48">
        <f>+EstadoSolicitudes[[#This Row],[Fecha respuesta final OR]]+180+90</f>
        <v>46000</v>
      </c>
      <c r="X20" s="46"/>
    </row>
    <row r="21" spans="1:24" hidden="1" x14ac:dyDescent="0.25">
      <c r="A21" s="152">
        <f t="shared" si="0"/>
        <v>15</v>
      </c>
      <c r="B21" s="46" t="s">
        <v>252</v>
      </c>
      <c r="C21" s="46" t="str">
        <f>+IF(EstadoSolicitudes[[#This Row],[Aprobado OR]]="Aprobado",EstadoSolicitudes[[#This Row],[Aprobado OR]],
IF(EstadoSolicitudes[[#This Row],[Aprobado OR]]="Cancelado",EstadoSolicitudes[[#This Row],[Aprobado OR]],
IF(EstadoSolicitudes[[#This Row],[Cargue estudio al OR]]&gt;1,"Verificación Técnica",
IF(EstadoSolicitudes[[#This Row],[Fecha solicitud estudio]]&gt;1,"Estudio de conexión",
IF(EstadoSolicitudes[[#This Row],[Insumos revisados]]="No",IF(EstadoSolicitudes[[#This Row],[Fecha entrega insumos OR]]&gt;1,"Evolti","Espera de insumos"),
"Evolti")))))</f>
        <v>Estudio de conexión</v>
      </c>
      <c r="D21" s="46" t="s">
        <v>153</v>
      </c>
      <c r="E21" s="152" t="s">
        <v>206</v>
      </c>
      <c r="G21" s="46" t="s">
        <v>253</v>
      </c>
      <c r="H21" s="46" t="s">
        <v>254</v>
      </c>
      <c r="I21" s="56" t="s">
        <v>232</v>
      </c>
      <c r="J21" s="48">
        <v>45561</v>
      </c>
      <c r="K21" s="49">
        <v>2783</v>
      </c>
      <c r="L21" s="50" t="s">
        <v>241</v>
      </c>
      <c r="M21" s="48">
        <v>45562</v>
      </c>
      <c r="N21" s="75" t="s">
        <v>210</v>
      </c>
      <c r="O21" s="48">
        <v>45566</v>
      </c>
      <c r="P21" s="48" t="s">
        <v>166</v>
      </c>
      <c r="Q21" s="48">
        <v>45569</v>
      </c>
      <c r="R21" s="72"/>
      <c r="S21" s="48"/>
      <c r="T21" s="46" t="s">
        <v>145</v>
      </c>
      <c r="U21" s="48"/>
      <c r="V21" s="48">
        <f>+EstadoSolicitudes[[#This Row],[Fecha respuesta final OR]]+180+90</f>
        <v>270</v>
      </c>
      <c r="X21" s="46"/>
    </row>
    <row r="22" spans="1:24" ht="31.5" hidden="1" x14ac:dyDescent="0.25">
      <c r="A22" s="152">
        <f t="shared" si="0"/>
        <v>16</v>
      </c>
      <c r="B22" s="46" t="s">
        <v>255</v>
      </c>
      <c r="C22" s="46" t="str">
        <f>+IF(EstadoSolicitudes[[#This Row],[Aprobado OR]]="Aprobado",EstadoSolicitudes[[#This Row],[Aprobado OR]],
IF(EstadoSolicitudes[[#This Row],[Aprobado OR]]="Cancelado",EstadoSolicitudes[[#This Row],[Aprobado OR]],
IF(EstadoSolicitudes[[#This Row],[Cargue estudio al OR]]&gt;1,"Verificación Técnica",
IF(EstadoSolicitudes[[#This Row],[Fecha solicitud estudio]]&gt;1,"Estudio de conexión",
IF(EstadoSolicitudes[[#This Row],[Insumos revisados]]="No",IF(EstadoSolicitudes[[#This Row],[Fecha entrega insumos OR]]&gt;1,"Evolti","Espera de insumos"),
"Evolti")))))</f>
        <v>Estudio de conexión</v>
      </c>
      <c r="D22" s="46" t="s">
        <v>155</v>
      </c>
      <c r="G22" s="46" t="s">
        <v>227</v>
      </c>
      <c r="H22" s="46">
        <v>901432582</v>
      </c>
      <c r="I22" s="56" t="s">
        <v>232</v>
      </c>
      <c r="J22" s="48">
        <v>45564</v>
      </c>
      <c r="K22" s="49">
        <v>29534</v>
      </c>
      <c r="L22" s="50"/>
      <c r="M22" s="48">
        <v>45586</v>
      </c>
      <c r="N22" s="75" t="s">
        <v>229</v>
      </c>
      <c r="O22" s="48">
        <v>45594</v>
      </c>
      <c r="P22" s="48" t="s">
        <v>166</v>
      </c>
      <c r="Q22" s="48">
        <v>45597</v>
      </c>
      <c r="R22" s="73" t="s">
        <v>256</v>
      </c>
      <c r="S22" s="48"/>
      <c r="T22" s="46" t="s">
        <v>145</v>
      </c>
      <c r="U22" s="48"/>
      <c r="V22" s="48">
        <f>+EstadoSolicitudes[[#This Row],[Fecha respuesta final OR]]+180+90</f>
        <v>270</v>
      </c>
      <c r="X22" s="46"/>
    </row>
    <row r="23" spans="1:24" ht="78.75" hidden="1" x14ac:dyDescent="0.25">
      <c r="A23" s="152">
        <f t="shared" si="0"/>
        <v>17</v>
      </c>
      <c r="B23" s="46" t="s">
        <v>257</v>
      </c>
      <c r="C23" s="46" t="str">
        <f>+IF(EstadoSolicitudes[[#This Row],[Aprobado OR]]="Aprobado",EstadoSolicitudes[[#This Row],[Aprobado OR]],
IF(EstadoSolicitudes[[#This Row],[Aprobado OR]]="Cancelado",EstadoSolicitudes[[#This Row],[Aprobado OR]],
IF(EstadoSolicitudes[[#This Row],[Cargue estudio al OR]]&gt;1,"Verificación Técnica",
IF(EstadoSolicitudes[[#This Row],[Fecha solicitud estudio]]&gt;1,"Estudio de conexión",
IF(EstadoSolicitudes[[#This Row],[Insumos revisados]]="No",IF(EstadoSolicitudes[[#This Row],[Fecha entrega insumos OR]]&gt;1,"Evolti","Espera de insumos"),
"Evolti")))))</f>
        <v>Cancelado</v>
      </c>
      <c r="D23" s="46" t="s">
        <v>155</v>
      </c>
      <c r="G23" s="46" t="s">
        <v>227</v>
      </c>
      <c r="H23" s="46">
        <v>901432582</v>
      </c>
      <c r="I23" s="56" t="s">
        <v>232</v>
      </c>
      <c r="J23" s="48">
        <v>45564</v>
      </c>
      <c r="K23" s="49">
        <v>29535</v>
      </c>
      <c r="L23" s="50"/>
      <c r="M23" s="48">
        <v>45576</v>
      </c>
      <c r="N23" s="75" t="s">
        <v>210</v>
      </c>
      <c r="O23" s="48">
        <v>45617</v>
      </c>
      <c r="P23" s="48" t="s">
        <v>166</v>
      </c>
      <c r="Q23" s="48">
        <v>45622</v>
      </c>
      <c r="R23" s="73" t="s">
        <v>258</v>
      </c>
      <c r="S23" s="48"/>
      <c r="T23" s="46" t="s">
        <v>148</v>
      </c>
      <c r="U23" s="48"/>
      <c r="V23" s="48">
        <f>+EstadoSolicitudes[[#This Row],[Fecha respuesta final OR]]+180+90</f>
        <v>270</v>
      </c>
      <c r="X23" s="46"/>
    </row>
    <row r="24" spans="1:24" hidden="1" x14ac:dyDescent="0.25">
      <c r="A24" s="152">
        <f t="shared" si="0"/>
        <v>18</v>
      </c>
      <c r="B24" s="46" t="s">
        <v>259</v>
      </c>
      <c r="C24" s="46" t="str">
        <f>+IF(EstadoSolicitudes[[#This Row],[Aprobado OR]]="Aprobado",EstadoSolicitudes[[#This Row],[Aprobado OR]],
IF(EstadoSolicitudes[[#This Row],[Aprobado OR]]="Cancelado",EstadoSolicitudes[[#This Row],[Aprobado OR]],
IF(EstadoSolicitudes[[#This Row],[Cargue estudio al OR]]&gt;1,"Verificación Técnica",
IF(EstadoSolicitudes[[#This Row],[Fecha solicitud estudio]]&gt;1,"Estudio de conexión",
IF(EstadoSolicitudes[[#This Row],[Insumos revisados]]="No",IF(EstadoSolicitudes[[#This Row],[Fecha entrega insumos OR]]&gt;1,"Evolti","Espera de insumos"),
"Evolti")))))</f>
        <v>Cancelado</v>
      </c>
      <c r="D24" s="46" t="s">
        <v>155</v>
      </c>
      <c r="G24" s="46" t="s">
        <v>227</v>
      </c>
      <c r="H24" s="46">
        <v>901432582</v>
      </c>
      <c r="I24" s="56" t="s">
        <v>232</v>
      </c>
      <c r="J24" s="48">
        <v>45564</v>
      </c>
      <c r="K24" s="49">
        <v>29536</v>
      </c>
      <c r="L24" s="50"/>
      <c r="N24" s="75" t="s">
        <v>229</v>
      </c>
      <c r="R24" s="72"/>
      <c r="S24" s="48"/>
      <c r="T24" s="46" t="s">
        <v>148</v>
      </c>
      <c r="U24" s="48"/>
      <c r="V24" s="48"/>
      <c r="W24" s="48" t="s">
        <v>260</v>
      </c>
      <c r="X24" s="46"/>
    </row>
    <row r="25" spans="1:24" hidden="1" x14ac:dyDescent="0.25">
      <c r="A25" s="152">
        <f t="shared" si="0"/>
        <v>19</v>
      </c>
      <c r="B25" s="46" t="s">
        <v>261</v>
      </c>
      <c r="C25" s="46" t="s">
        <v>148</v>
      </c>
      <c r="D25" s="46" t="s">
        <v>151</v>
      </c>
      <c r="E25" s="152" t="s">
        <v>262</v>
      </c>
      <c r="F25" s="152" t="s">
        <v>263</v>
      </c>
      <c r="G25" s="46" t="s">
        <v>227</v>
      </c>
      <c r="H25" s="46">
        <v>901432582</v>
      </c>
      <c r="I25" s="56" t="s">
        <v>232</v>
      </c>
      <c r="J25" s="48">
        <v>45573</v>
      </c>
      <c r="K25" s="49">
        <v>8458128</v>
      </c>
      <c r="L25" s="50"/>
      <c r="N25" s="75" t="s">
        <v>229</v>
      </c>
      <c r="R25" s="72"/>
      <c r="S25" s="48"/>
      <c r="T25" s="46" t="s">
        <v>145</v>
      </c>
      <c r="U25" s="48"/>
      <c r="V25" s="48"/>
      <c r="W25" s="48" t="s">
        <v>264</v>
      </c>
      <c r="X25" s="46"/>
    </row>
    <row r="26" spans="1:24" hidden="1" x14ac:dyDescent="0.25">
      <c r="A26" s="152">
        <f t="shared" si="0"/>
        <v>20</v>
      </c>
      <c r="B26" s="46" t="s">
        <v>265</v>
      </c>
      <c r="C26" s="46" t="str">
        <f>+IF(EstadoSolicitudes[[#This Row],[Aprobado OR]]="Aprobado",EstadoSolicitudes[[#This Row],[Aprobado OR]],
IF(EstadoSolicitudes[[#This Row],[Aprobado OR]]="Cancelado",EstadoSolicitudes[[#This Row],[Aprobado OR]],
IF(EstadoSolicitudes[[#This Row],[Cargue estudio al OR]]&gt;1,"Verificación Técnica",
IF(EstadoSolicitudes[[#This Row],[Fecha solicitud estudio]]&gt;1,"Estudio de conexión",
IF(EstadoSolicitudes[[#This Row],[Insumos revisados]]="No",IF(EstadoSolicitudes[[#This Row],[Fecha entrega insumos OR]]&gt;1,"Evolti","Espera de insumos"),
"Evolti")))))</f>
        <v>Verificación Técnica</v>
      </c>
      <c r="D26" s="46" t="s">
        <v>151</v>
      </c>
      <c r="G26" s="46" t="s">
        <v>227</v>
      </c>
      <c r="H26" s="46">
        <v>901432582</v>
      </c>
      <c r="I26" s="56" t="s">
        <v>232</v>
      </c>
      <c r="J26" s="48">
        <v>45573</v>
      </c>
      <c r="K26" s="49">
        <v>8458138</v>
      </c>
      <c r="L26" s="50"/>
      <c r="M26" s="48">
        <v>45608</v>
      </c>
      <c r="N26" s="75" t="s">
        <v>210</v>
      </c>
      <c r="O26" s="48">
        <v>45609</v>
      </c>
      <c r="P26" s="48" t="s">
        <v>166</v>
      </c>
      <c r="Q26" s="48">
        <v>45611</v>
      </c>
      <c r="R26" s="72"/>
      <c r="S26" s="48">
        <v>45726</v>
      </c>
      <c r="T26" s="46" t="s">
        <v>145</v>
      </c>
      <c r="U26" s="48"/>
      <c r="V26" s="48">
        <f>+EstadoSolicitudes[[#This Row],[Fecha respuesta final OR]]+180+90</f>
        <v>270</v>
      </c>
      <c r="W26" s="48" t="s">
        <v>266</v>
      </c>
      <c r="X26" s="46"/>
    </row>
    <row r="27" spans="1:24" hidden="1" x14ac:dyDescent="0.25">
      <c r="A27" s="152">
        <f t="shared" si="0"/>
        <v>21</v>
      </c>
      <c r="B27" s="46" t="s">
        <v>248</v>
      </c>
      <c r="C27" s="46" t="str">
        <f>+IF(EstadoSolicitudes[[#This Row],[Aprobado OR]]="Aprobado",EstadoSolicitudes[[#This Row],[Aprobado OR]],
IF(EstadoSolicitudes[[#This Row],[Aprobado OR]]="Cancelado",EstadoSolicitudes[[#This Row],[Aprobado OR]],
IF(EstadoSolicitudes[[#This Row],[Cargue estudio al OR]]&gt;1,"Verificación Técnica",
IF(EstadoSolicitudes[[#This Row],[Fecha solicitud estudio]]&gt;1,"Estudio de conexión",
IF(EstadoSolicitudes[[#This Row],[Insumos revisados]]="No",IF(EstadoSolicitudes[[#This Row],[Fecha entrega insumos OR]]&gt;1,"Evolti","Espera de insumos"),
"Evolti")))))</f>
        <v>Estudio de conexión</v>
      </c>
      <c r="D27" s="46" t="s">
        <v>153</v>
      </c>
      <c r="G27" s="46" t="s">
        <v>247</v>
      </c>
      <c r="H27" s="46">
        <v>9018225616</v>
      </c>
      <c r="I27" s="56" t="s">
        <v>267</v>
      </c>
      <c r="J27" s="48">
        <v>45567</v>
      </c>
      <c r="K27" s="49">
        <v>2861</v>
      </c>
      <c r="L27" s="50" t="s">
        <v>268</v>
      </c>
      <c r="M27" s="48">
        <v>45596</v>
      </c>
      <c r="N27" s="75" t="s">
        <v>210</v>
      </c>
      <c r="O27" s="48">
        <v>45596</v>
      </c>
      <c r="P27" s="48" t="s">
        <v>166</v>
      </c>
      <c r="R27" s="72"/>
      <c r="S27" s="48"/>
      <c r="T27" s="46" t="s">
        <v>145</v>
      </c>
      <c r="U27" s="48"/>
      <c r="V27" s="48"/>
      <c r="X27" s="46"/>
    </row>
    <row r="28" spans="1:24" hidden="1" x14ac:dyDescent="0.25">
      <c r="A28" s="152">
        <f t="shared" ref="A28:A34" si="1">+A27+1</f>
        <v>22</v>
      </c>
      <c r="B28" s="46" t="s">
        <v>269</v>
      </c>
      <c r="C28" s="46" t="str">
        <f>+IF(EstadoSolicitudes[[#This Row],[Aprobado OR]]="Aprobado",EstadoSolicitudes[[#This Row],[Aprobado OR]],
IF(EstadoSolicitudes[[#This Row],[Aprobado OR]]="Cancelado",EstadoSolicitudes[[#This Row],[Aprobado OR]],
IF(EstadoSolicitudes[[#This Row],[Cargue estudio al OR]]&gt;1,"Verificación Técnica",
IF(EstadoSolicitudes[[#This Row],[Fecha solicitud estudio]]&gt;1,"Estudio de conexión",
IF(EstadoSolicitudes[[#This Row],[Insumos revisados]]="No",IF(EstadoSolicitudes[[#This Row],[Fecha entrega insumos OR]]&gt;1,"Evolti","Espera de insumos"),
"Evolti")))))</f>
        <v>Cancelado</v>
      </c>
      <c r="D28" s="46" t="s">
        <v>154</v>
      </c>
      <c r="G28" s="46" t="s">
        <v>227</v>
      </c>
      <c r="H28" s="46">
        <v>901432582</v>
      </c>
      <c r="I28" s="56" t="s">
        <v>232</v>
      </c>
      <c r="J28" s="48">
        <v>45576</v>
      </c>
      <c r="K28" s="49"/>
      <c r="L28" s="50"/>
      <c r="N28" s="75" t="s">
        <v>229</v>
      </c>
      <c r="R28" s="72"/>
      <c r="S28" s="48"/>
      <c r="T28" s="48" t="s">
        <v>148</v>
      </c>
      <c r="U28" s="48"/>
      <c r="V28" s="48"/>
      <c r="W28" s="48" t="s">
        <v>243</v>
      </c>
      <c r="X28" s="46"/>
    </row>
    <row r="29" spans="1:24" ht="63" hidden="1" x14ac:dyDescent="0.25">
      <c r="A29" s="152">
        <f t="shared" si="1"/>
        <v>23</v>
      </c>
      <c r="B29" s="46" t="s">
        <v>270</v>
      </c>
      <c r="C29" s="46" t="str">
        <f>+IF(EstadoSolicitudes[[#This Row],[Aprobado OR]]="Aprobado",EstadoSolicitudes[[#This Row],[Aprobado OR]],
IF(EstadoSolicitudes[[#This Row],[Aprobado OR]]="Cancelado",EstadoSolicitudes[[#This Row],[Aprobado OR]],
IF(EstadoSolicitudes[[#This Row],[Cargue estudio al OR]]&gt;1,"Verificación Técnica",
IF(EstadoSolicitudes[[#This Row],[Fecha solicitud estudio]]&gt;1,"Estudio de conexión",
IF(EstadoSolicitudes[[#This Row],[Insumos revisados]]="No",IF(EstadoSolicitudes[[#This Row],[Fecha entrega insumos OR]]&gt;1,"Evolti","Espera de insumos"),
"Evolti")))))</f>
        <v>Estudio de conexión</v>
      </c>
      <c r="D29" s="46" t="s">
        <v>151</v>
      </c>
      <c r="G29" s="46" t="s">
        <v>227</v>
      </c>
      <c r="H29" s="46">
        <v>901432582</v>
      </c>
      <c r="I29" s="56" t="s">
        <v>232</v>
      </c>
      <c r="J29" s="48">
        <v>45590</v>
      </c>
      <c r="L29" s="50"/>
      <c r="M29" s="48">
        <v>45596</v>
      </c>
      <c r="N29" s="75" t="s">
        <v>210</v>
      </c>
      <c r="O29" s="48">
        <v>45604</v>
      </c>
      <c r="P29" s="48" t="s">
        <v>166</v>
      </c>
      <c r="Q29" s="48">
        <v>45608</v>
      </c>
      <c r="R29" s="73" t="s">
        <v>271</v>
      </c>
      <c r="S29" s="48"/>
      <c r="T29" s="48" t="s">
        <v>145</v>
      </c>
      <c r="U29" s="48"/>
      <c r="V29" s="48">
        <f>+EstadoSolicitudes[[#This Row],[Fecha respuesta final OR]]+180+90</f>
        <v>270</v>
      </c>
      <c r="W29" s="48" t="s">
        <v>272</v>
      </c>
      <c r="X29" s="46"/>
    </row>
    <row r="30" spans="1:24" hidden="1" x14ac:dyDescent="0.25">
      <c r="A30" s="152">
        <f t="shared" si="1"/>
        <v>24</v>
      </c>
      <c r="B30" s="46" t="s">
        <v>273</v>
      </c>
      <c r="C30" s="46" t="str">
        <f>+IF(EstadoSolicitudes[[#This Row],[Aprobado OR]]="Aprobado",EstadoSolicitudes[[#This Row],[Aprobado OR]],
IF(EstadoSolicitudes[[#This Row],[Aprobado OR]]="Cancelado",EstadoSolicitudes[[#This Row],[Aprobado OR]],
IF(EstadoSolicitudes[[#This Row],[Cargue estudio al OR]]&gt;1,"Verificación Técnica",
IF(EstadoSolicitudes[[#This Row],[Fecha solicitud estudio]]&gt;1,"Estudio de conexión",
IF(EstadoSolicitudes[[#This Row],[Insumos revisados]]="No",IF(EstadoSolicitudes[[#This Row],[Fecha entrega insumos OR]]&gt;1,"Evolti","Espera de insumos"),
"Evolti")))))</f>
        <v>Estudio de conexión</v>
      </c>
      <c r="D30" s="46" t="s">
        <v>155</v>
      </c>
      <c r="G30" s="46" t="s">
        <v>227</v>
      </c>
      <c r="H30" s="46">
        <v>901432582</v>
      </c>
      <c r="I30" s="56" t="s">
        <v>232</v>
      </c>
      <c r="J30" s="48">
        <v>45581</v>
      </c>
      <c r="K30" s="49">
        <v>30045</v>
      </c>
      <c r="L30" s="50"/>
      <c r="M30" s="48">
        <v>45596</v>
      </c>
      <c r="N30" s="75" t="s">
        <v>210</v>
      </c>
      <c r="O30" s="48">
        <v>45596</v>
      </c>
      <c r="P30" s="48" t="s">
        <v>166</v>
      </c>
      <c r="Q30" s="48">
        <v>45602</v>
      </c>
      <c r="R30" s="72" t="s">
        <v>274</v>
      </c>
      <c r="S30" s="48"/>
      <c r="T30" s="48" t="s">
        <v>145</v>
      </c>
      <c r="U30" s="48"/>
      <c r="V30" s="48">
        <f>+EstadoSolicitudes[[#This Row],[Fecha respuesta final OR]]+180+90</f>
        <v>270</v>
      </c>
      <c r="X30" s="46"/>
    </row>
    <row r="31" spans="1:24" hidden="1" x14ac:dyDescent="0.25">
      <c r="A31" s="152">
        <f t="shared" si="1"/>
        <v>25</v>
      </c>
      <c r="B31" s="46" t="s">
        <v>275</v>
      </c>
      <c r="C31" s="46" t="str">
        <f>+IF(EstadoSolicitudes[[#This Row],[Aprobado OR]]="Aprobado",EstadoSolicitudes[[#This Row],[Aprobado OR]],
IF(EstadoSolicitudes[[#This Row],[Aprobado OR]]="Cancelado",EstadoSolicitudes[[#This Row],[Aprobado OR]],
IF(EstadoSolicitudes[[#This Row],[Cargue estudio al OR]]&gt;1,"Verificación Técnica",
IF(EstadoSolicitudes[[#This Row],[Fecha solicitud estudio]]&gt;1,"Estudio de conexión",
IF(EstadoSolicitudes[[#This Row],[Insumos revisados]]="No",IF(EstadoSolicitudes[[#This Row],[Fecha entrega insumos OR]]&gt;1,"Evolti","Espera de insumos"),
"Evolti")))))</f>
        <v>Estudio de conexión</v>
      </c>
      <c r="D31" s="46" t="s">
        <v>155</v>
      </c>
      <c r="G31" s="46" t="s">
        <v>227</v>
      </c>
      <c r="H31" s="46">
        <v>901432582</v>
      </c>
      <c r="I31" s="56" t="s">
        <v>232</v>
      </c>
      <c r="J31" s="48">
        <v>45581</v>
      </c>
      <c r="K31" s="49">
        <v>30046</v>
      </c>
      <c r="L31" s="50"/>
      <c r="M31" s="48">
        <v>45596</v>
      </c>
      <c r="N31" s="75" t="s">
        <v>210</v>
      </c>
      <c r="O31" s="48">
        <v>45604</v>
      </c>
      <c r="P31" s="48" t="s">
        <v>166</v>
      </c>
      <c r="Q31" s="48">
        <v>45608</v>
      </c>
      <c r="R31" s="72" t="s">
        <v>276</v>
      </c>
      <c r="S31" s="48"/>
      <c r="T31" s="48" t="s">
        <v>145</v>
      </c>
      <c r="U31" s="48"/>
      <c r="V31" s="48">
        <f>+EstadoSolicitudes[[#This Row],[Fecha respuesta final OR]]+180+90</f>
        <v>270</v>
      </c>
      <c r="X31" s="46"/>
    </row>
    <row r="32" spans="1:24" ht="31.5" hidden="1" x14ac:dyDescent="0.25">
      <c r="A32" s="152">
        <f t="shared" si="1"/>
        <v>26</v>
      </c>
      <c r="B32" s="46" t="s">
        <v>277</v>
      </c>
      <c r="C32" s="46" t="str">
        <f>+IF(EstadoSolicitudes[[#This Row],[Aprobado OR]]="Aprobado",EstadoSolicitudes[[#This Row],[Aprobado OR]],
IF(EstadoSolicitudes[[#This Row],[Aprobado OR]]="Cancelado",EstadoSolicitudes[[#This Row],[Aprobado OR]],
IF(EstadoSolicitudes[[#This Row],[Cargue estudio al OR]]&gt;1,"Verificación Técnica",
IF(EstadoSolicitudes[[#This Row],[Fecha solicitud estudio]]&gt;1,"Estudio de conexión",
IF(EstadoSolicitudes[[#This Row],[Insumos revisados]]="No",IF(EstadoSolicitudes[[#This Row],[Fecha entrega insumos OR]]&gt;1,"Evolti","Espera de insumos"),
"Evolti")))))</f>
        <v>Cancelado</v>
      </c>
      <c r="D32" s="46" t="s">
        <v>154</v>
      </c>
      <c r="G32" s="46" t="s">
        <v>227</v>
      </c>
      <c r="H32" s="46">
        <v>901432582</v>
      </c>
      <c r="I32" s="56" t="s">
        <v>232</v>
      </c>
      <c r="J32" s="48">
        <v>45583</v>
      </c>
      <c r="K32" s="49"/>
      <c r="L32" s="50"/>
      <c r="N32" s="75" t="s">
        <v>229</v>
      </c>
      <c r="R32" s="72"/>
      <c r="S32" s="48"/>
      <c r="T32" s="48" t="s">
        <v>148</v>
      </c>
      <c r="U32" s="48"/>
      <c r="V32" s="48"/>
      <c r="W32" s="66" t="s">
        <v>278</v>
      </c>
      <c r="X32" s="46"/>
    </row>
    <row r="33" spans="1:24" ht="31.5" hidden="1" x14ac:dyDescent="0.25">
      <c r="A33" s="152">
        <f t="shared" si="1"/>
        <v>27</v>
      </c>
      <c r="B33" s="46" t="s">
        <v>279</v>
      </c>
      <c r="C33" s="46" t="str">
        <f>+IF(EstadoSolicitudes[[#This Row],[Aprobado OR]]="Aprobado",EstadoSolicitudes[[#This Row],[Aprobado OR]],
IF(EstadoSolicitudes[[#This Row],[Aprobado OR]]="Cancelado",EstadoSolicitudes[[#This Row],[Aprobado OR]],
IF(EstadoSolicitudes[[#This Row],[Cargue estudio al OR]]&gt;1,"Verificación Técnica",
IF(EstadoSolicitudes[[#This Row],[Fecha solicitud estudio]]&gt;1,"Estudio de conexión",
IF(EstadoSolicitudes[[#This Row],[Insumos revisados]]="No",IF(EstadoSolicitudes[[#This Row],[Fecha entrega insumos OR]]&gt;1,"Evolti","Espera de insumos"),
"Evolti")))))</f>
        <v>Cancelado</v>
      </c>
      <c r="D33" s="46" t="s">
        <v>154</v>
      </c>
      <c r="G33" s="46" t="s">
        <v>227</v>
      </c>
      <c r="H33" s="46">
        <v>901432582</v>
      </c>
      <c r="I33" s="56" t="s">
        <v>232</v>
      </c>
      <c r="J33" s="48">
        <v>45583</v>
      </c>
      <c r="K33" s="49"/>
      <c r="L33" s="50"/>
      <c r="N33" s="75" t="s">
        <v>229</v>
      </c>
      <c r="R33" s="72"/>
      <c r="S33" s="48"/>
      <c r="T33" s="48" t="s">
        <v>148</v>
      </c>
      <c r="U33" s="48"/>
      <c r="V33" s="48"/>
      <c r="W33" s="66" t="s">
        <v>278</v>
      </c>
      <c r="X33" s="46"/>
    </row>
    <row r="34" spans="1:24" ht="31.5" hidden="1" x14ac:dyDescent="0.25">
      <c r="A34" s="152">
        <f t="shared" si="1"/>
        <v>28</v>
      </c>
      <c r="B34" s="46" t="s">
        <v>280</v>
      </c>
      <c r="C34" s="46" t="str">
        <f>+IF(EstadoSolicitudes[[#This Row],[Aprobado OR]]="Aprobado",EstadoSolicitudes[[#This Row],[Aprobado OR]],
IF(EstadoSolicitudes[[#This Row],[Aprobado OR]]="Cancelado",EstadoSolicitudes[[#This Row],[Aprobado OR]],
IF(EstadoSolicitudes[[#This Row],[Cargue estudio al OR]]&gt;1,"Verificación Técnica",
IF(EstadoSolicitudes[[#This Row],[Fecha solicitud estudio]]&gt;1,"Estudio de conexión",
IF(EstadoSolicitudes[[#This Row],[Insumos revisados]]="No",IF(EstadoSolicitudes[[#This Row],[Fecha entrega insumos OR]]&gt;1,"Evolti","Espera de insumos"),
"Evolti")))))</f>
        <v>Cancelado</v>
      </c>
      <c r="D34" s="46" t="s">
        <v>154</v>
      </c>
      <c r="G34" s="46" t="s">
        <v>227</v>
      </c>
      <c r="H34" s="46">
        <v>901432582</v>
      </c>
      <c r="I34" s="56" t="s">
        <v>232</v>
      </c>
      <c r="J34" s="48">
        <v>45583</v>
      </c>
      <c r="K34" s="49"/>
      <c r="L34" s="50"/>
      <c r="N34" s="75" t="s">
        <v>229</v>
      </c>
      <c r="R34" s="72"/>
      <c r="S34" s="48"/>
      <c r="T34" s="48" t="s">
        <v>148</v>
      </c>
      <c r="U34" s="48"/>
      <c r="V34" s="48"/>
      <c r="W34" s="66" t="s">
        <v>278</v>
      </c>
      <c r="X34" s="46"/>
    </row>
    <row r="35" spans="1:24" hidden="1" x14ac:dyDescent="0.25">
      <c r="A35" s="152">
        <f>+A34+1</f>
        <v>29</v>
      </c>
      <c r="B35" s="46" t="s">
        <v>281</v>
      </c>
      <c r="C35" s="46" t="str">
        <f>+IF(EstadoSolicitudes[[#This Row],[Aprobado OR]]="Aprobado",EstadoSolicitudes[[#This Row],[Aprobado OR]],
IF(EstadoSolicitudes[[#This Row],[Aprobado OR]]="Cancelado",EstadoSolicitudes[[#This Row],[Aprobado OR]],
IF(EstadoSolicitudes[[#This Row],[Cargue estudio al OR]]&gt;1,"Verificación Técnica",
IF(EstadoSolicitudes[[#This Row],[Fecha solicitud estudio]]&gt;1,"Estudio de conexión",
IF(EstadoSolicitudes[[#This Row],[Insumos revisados]]="No",IF(EstadoSolicitudes[[#This Row],[Fecha entrega insumos OR]]&gt;1,"Evolti","Espera de insumos"),
"Evolti")))))</f>
        <v>Evolti</v>
      </c>
      <c r="D35" s="46" t="s">
        <v>282</v>
      </c>
      <c r="G35" s="46" t="s">
        <v>227</v>
      </c>
      <c r="H35" s="46">
        <v>901432582</v>
      </c>
      <c r="I35" s="56" t="s">
        <v>232</v>
      </c>
      <c r="J35" s="48">
        <v>45583</v>
      </c>
      <c r="K35" s="46">
        <v>12779275</v>
      </c>
      <c r="L35" s="50"/>
      <c r="N35" s="75" t="s">
        <v>210</v>
      </c>
      <c r="R35" s="72"/>
      <c r="S35" s="48"/>
      <c r="T35" s="48" t="s">
        <v>145</v>
      </c>
      <c r="U35" s="48"/>
      <c r="V35" s="48"/>
      <c r="X35" s="46"/>
    </row>
    <row r="36" spans="1:24" hidden="1" x14ac:dyDescent="0.25">
      <c r="A36" s="152">
        <f t="shared" ref="A36:A40" si="2">+A35+1</f>
        <v>30</v>
      </c>
      <c r="B36" s="153" t="s">
        <v>283</v>
      </c>
      <c r="C36" s="46" t="str">
        <f>+IF(EstadoSolicitudes[[#This Row],[Aprobado OR]]="Aprobado",EstadoSolicitudes[[#This Row],[Aprobado OR]],
IF(EstadoSolicitudes[[#This Row],[Aprobado OR]]="Cancelado",EstadoSolicitudes[[#This Row],[Aprobado OR]],
IF(EstadoSolicitudes[[#This Row],[Cargue estudio al OR]]&gt;1,"Verificación Técnica",
IF(EstadoSolicitudes[[#This Row],[Fecha solicitud estudio]]&gt;1,"Estudio de conexión",
IF(EstadoSolicitudes[[#This Row],[Insumos revisados]]="No",IF(EstadoSolicitudes[[#This Row],[Fecha entrega insumos OR]]&gt;1,"Evolti","Espera de insumos"),
"Evolti")))))</f>
        <v>Cancelado</v>
      </c>
      <c r="D36" s="46" t="s">
        <v>154</v>
      </c>
      <c r="G36" s="46" t="s">
        <v>227</v>
      </c>
      <c r="H36" s="46">
        <v>901432582</v>
      </c>
      <c r="I36" s="56" t="s">
        <v>232</v>
      </c>
      <c r="J36" s="48">
        <v>45594</v>
      </c>
      <c r="K36" s="49">
        <v>21932</v>
      </c>
      <c r="L36" s="50"/>
      <c r="N36" s="75" t="s">
        <v>229</v>
      </c>
      <c r="R36" s="72"/>
      <c r="S36" s="48"/>
      <c r="T36" s="48" t="s">
        <v>148</v>
      </c>
      <c r="U36" s="48"/>
      <c r="V36" s="48"/>
      <c r="W36" s="48" t="s">
        <v>284</v>
      </c>
      <c r="X36" s="46"/>
    </row>
    <row r="37" spans="1:24" hidden="1" x14ac:dyDescent="0.25">
      <c r="A37" s="152">
        <f>+A36+1</f>
        <v>31</v>
      </c>
      <c r="B37" s="46" t="s">
        <v>285</v>
      </c>
      <c r="C37" s="46" t="str">
        <f>+IF(EstadoSolicitudes[[#This Row],[Aprobado OR]]="Aprobado",EstadoSolicitudes[[#This Row],[Aprobado OR]],
IF(EstadoSolicitudes[[#This Row],[Aprobado OR]]="Cancelado",EstadoSolicitudes[[#This Row],[Aprobado OR]],
IF(EstadoSolicitudes[[#This Row],[Cargue estudio al OR]]&gt;1,"Verificación Técnica",
IF(EstadoSolicitudes[[#This Row],[Fecha solicitud estudio]]&gt;1,"Estudio de conexión",
IF(EstadoSolicitudes[[#This Row],[Insumos revisados]]="No",IF(EstadoSolicitudes[[#This Row],[Fecha entrega insumos OR]]&gt;1,"Evolti","Espera de insumos"),
"Evolti")))))</f>
        <v>Cancelado</v>
      </c>
      <c r="D37" s="46" t="s">
        <v>154</v>
      </c>
      <c r="G37" s="46" t="s">
        <v>227</v>
      </c>
      <c r="H37" s="46">
        <v>901432582</v>
      </c>
      <c r="I37" s="56" t="s">
        <v>232</v>
      </c>
      <c r="J37" s="48">
        <v>45588</v>
      </c>
      <c r="K37" s="49"/>
      <c r="L37" s="50"/>
      <c r="N37" s="75" t="s">
        <v>229</v>
      </c>
      <c r="R37" s="72"/>
      <c r="S37" s="48"/>
      <c r="T37" s="48" t="s">
        <v>148</v>
      </c>
      <c r="U37" s="48"/>
      <c r="V37" s="48"/>
      <c r="W37" s="48" t="s">
        <v>286</v>
      </c>
      <c r="X37" s="46"/>
    </row>
    <row r="38" spans="1:24" hidden="1" x14ac:dyDescent="0.25">
      <c r="A38" s="152">
        <f t="shared" si="2"/>
        <v>32</v>
      </c>
      <c r="B38" s="46" t="s">
        <v>287</v>
      </c>
      <c r="C38" s="46" t="str">
        <f>+IF(EstadoSolicitudes[[#This Row],[Aprobado OR]]="Aprobado",EstadoSolicitudes[[#This Row],[Aprobado OR]],
IF(EstadoSolicitudes[[#This Row],[Aprobado OR]]="Cancelado",EstadoSolicitudes[[#This Row],[Aprobado OR]],
IF(EstadoSolicitudes[[#This Row],[Cargue estudio al OR]]&gt;1,"Verificación Técnica",
IF(EstadoSolicitudes[[#This Row],[Fecha solicitud estudio]]&gt;1,"Estudio de conexión",
IF(EstadoSolicitudes[[#This Row],[Insumos revisados]]="No",IF(EstadoSolicitudes[[#This Row],[Fecha entrega insumos OR]]&gt;1,"Evolti","Espera de insumos"),
"Evolti")))))</f>
        <v>Espera de insumos</v>
      </c>
      <c r="D38" s="46" t="s">
        <v>154</v>
      </c>
      <c r="G38" s="46" t="s">
        <v>227</v>
      </c>
      <c r="H38" s="46">
        <v>901432582</v>
      </c>
      <c r="I38" s="56" t="s">
        <v>232</v>
      </c>
      <c r="J38" s="48">
        <v>45588</v>
      </c>
      <c r="K38" s="49"/>
      <c r="L38" s="50"/>
      <c r="N38" s="75" t="s">
        <v>229</v>
      </c>
      <c r="R38" s="72"/>
      <c r="S38" s="48"/>
      <c r="T38" s="48" t="s">
        <v>145</v>
      </c>
      <c r="U38" s="48"/>
      <c r="V38" s="48"/>
      <c r="W38" s="48" t="s">
        <v>286</v>
      </c>
      <c r="X38" s="46"/>
    </row>
    <row r="39" spans="1:24" hidden="1" x14ac:dyDescent="0.25">
      <c r="A39" s="152">
        <f t="shared" si="2"/>
        <v>33</v>
      </c>
      <c r="B39" s="46" t="s">
        <v>288</v>
      </c>
      <c r="C39" s="46" t="str">
        <f>+IF(EstadoSolicitudes[[#This Row],[Aprobado OR]]="Aprobado",EstadoSolicitudes[[#This Row],[Aprobado OR]],
IF(EstadoSolicitudes[[#This Row],[Aprobado OR]]="Cancelado",EstadoSolicitudes[[#This Row],[Aprobado OR]],
IF(EstadoSolicitudes[[#This Row],[Cargue estudio al OR]]&gt;1,"Verificación Técnica",
IF(EstadoSolicitudes[[#This Row],[Fecha solicitud estudio]]&gt;1,"Estudio de conexión",
IF(EstadoSolicitudes[[#This Row],[Insumos revisados]]="No",IF(EstadoSolicitudes[[#This Row],[Fecha entrega insumos OR]]&gt;1,"Evolti","Espera de insumos"),
"Evolti")))))</f>
        <v>Espera de insumos</v>
      </c>
      <c r="D39" s="46" t="s">
        <v>154</v>
      </c>
      <c r="G39" s="46" t="s">
        <v>227</v>
      </c>
      <c r="H39" s="46">
        <v>901432582</v>
      </c>
      <c r="I39" s="56" t="s">
        <v>232</v>
      </c>
      <c r="J39" s="48">
        <v>45588</v>
      </c>
      <c r="K39" s="49"/>
      <c r="L39" s="50"/>
      <c r="N39" s="75" t="s">
        <v>229</v>
      </c>
      <c r="R39" s="72"/>
      <c r="S39" s="48"/>
      <c r="T39" s="48" t="s">
        <v>145</v>
      </c>
      <c r="U39" s="48"/>
      <c r="V39" s="48"/>
      <c r="W39" s="48" t="s">
        <v>286</v>
      </c>
      <c r="X39" s="46"/>
    </row>
    <row r="40" spans="1:24" hidden="1" x14ac:dyDescent="0.25">
      <c r="A40" s="152">
        <f t="shared" si="2"/>
        <v>34</v>
      </c>
      <c r="B40" s="46" t="s">
        <v>289</v>
      </c>
      <c r="C40" s="46" t="str">
        <f>+IF(EstadoSolicitudes[[#This Row],[Aprobado OR]]="Aprobado",EstadoSolicitudes[[#This Row],[Aprobado OR]],
IF(EstadoSolicitudes[[#This Row],[Aprobado OR]]="Cancelado",EstadoSolicitudes[[#This Row],[Aprobado OR]],
IF(EstadoSolicitudes[[#This Row],[Cargue estudio al OR]]&gt;1,"Verificación Técnica",
IF(EstadoSolicitudes[[#This Row],[Fecha solicitud estudio]]&gt;1,"Estudio de conexión",
IF(EstadoSolicitudes[[#This Row],[Insumos revisados]]="No",IF(EstadoSolicitudes[[#This Row],[Fecha entrega insumos OR]]&gt;1,"Evolti","Espera de insumos"),
"Evolti")))))</f>
        <v>Espera de insumos</v>
      </c>
      <c r="D40" s="46" t="s">
        <v>154</v>
      </c>
      <c r="G40" s="46" t="s">
        <v>227</v>
      </c>
      <c r="H40" s="46">
        <v>901432582</v>
      </c>
      <c r="I40" s="56" t="s">
        <v>232</v>
      </c>
      <c r="J40" s="48">
        <v>45588</v>
      </c>
      <c r="K40" s="49"/>
      <c r="L40" s="50"/>
      <c r="N40" s="75" t="s">
        <v>229</v>
      </c>
      <c r="R40" s="72"/>
      <c r="S40" s="48"/>
      <c r="T40" s="48" t="s">
        <v>145</v>
      </c>
      <c r="U40" s="48"/>
      <c r="V40" s="48"/>
      <c r="W40" s="48" t="s">
        <v>286</v>
      </c>
      <c r="X40" s="46"/>
    </row>
    <row r="41" spans="1:24" hidden="1" x14ac:dyDescent="0.25">
      <c r="A41" s="152">
        <v>35</v>
      </c>
      <c r="B41" s="46" t="s">
        <v>290</v>
      </c>
      <c r="C41" s="46" t="str">
        <f>+IF(EstadoSolicitudes[[#This Row],[Aprobado OR]]="Aprobado",EstadoSolicitudes[[#This Row],[Aprobado OR]],
IF(EstadoSolicitudes[[#This Row],[Aprobado OR]]="Cancelado",EstadoSolicitudes[[#This Row],[Aprobado OR]],
IF(EstadoSolicitudes[[#This Row],[Cargue estudio al OR]]&gt;1,"Verificación Técnica",
IF(EstadoSolicitudes[[#This Row],[Fecha solicitud estudio]]&gt;1,"Estudio de conexión",
IF(EstadoSolicitudes[[#This Row],[Insumos revisados]]="No",IF(EstadoSolicitudes[[#This Row],[Fecha entrega insumos OR]]&gt;1,"Evolti","Espera de insumos"),
"Evolti")))))</f>
        <v>Estudio de conexión</v>
      </c>
      <c r="D41" s="46" t="s">
        <v>155</v>
      </c>
      <c r="G41" s="46" t="s">
        <v>227</v>
      </c>
      <c r="H41" s="46">
        <v>901432582</v>
      </c>
      <c r="I41" s="56" t="s">
        <v>232</v>
      </c>
      <c r="J41" s="48">
        <v>45576</v>
      </c>
      <c r="K41" s="49">
        <v>30639</v>
      </c>
      <c r="L41" s="50" t="s">
        <v>291</v>
      </c>
      <c r="M41" s="48">
        <v>45616</v>
      </c>
      <c r="N41" s="75" t="s">
        <v>210</v>
      </c>
      <c r="O41" s="48">
        <v>45617</v>
      </c>
      <c r="P41" s="48" t="s">
        <v>166</v>
      </c>
      <c r="Q41" s="48">
        <v>45618</v>
      </c>
      <c r="R41" s="72" t="s">
        <v>292</v>
      </c>
      <c r="S41" s="48"/>
      <c r="T41" s="48" t="s">
        <v>145</v>
      </c>
      <c r="U41" s="48"/>
      <c r="V41" s="48">
        <f>+EstadoSolicitudes[[#This Row],[Fecha respuesta final OR]]+180+90</f>
        <v>270</v>
      </c>
      <c r="X41" s="46"/>
    </row>
    <row r="42" spans="1:24" hidden="1" x14ac:dyDescent="0.25">
      <c r="A42" s="152">
        <f t="shared" ref="A42:A47" si="3">+A41+1</f>
        <v>36</v>
      </c>
      <c r="B42" s="46" t="s">
        <v>293</v>
      </c>
      <c r="C42" s="46" t="str">
        <f>+IF(EstadoSolicitudes[[#This Row],[Aprobado OR]]="Aprobado",EstadoSolicitudes[[#This Row],[Aprobado OR]],
IF(EstadoSolicitudes[[#This Row],[Aprobado OR]]="Cancelado",EstadoSolicitudes[[#This Row],[Aprobado OR]],
IF(EstadoSolicitudes[[#This Row],[Cargue estudio al OR]]&gt;1,"Verificación Técnica",
IF(EstadoSolicitudes[[#This Row],[Fecha solicitud estudio]]&gt;1,"Estudio de conexión",
IF(EstadoSolicitudes[[#This Row],[Insumos revisados]]="No",IF(EstadoSolicitudes[[#This Row],[Fecha entrega insumos OR]]&gt;1,"Evolti","Espera de insumos"),
"Evolti")))))</f>
        <v>Estudio de conexión</v>
      </c>
      <c r="D42" s="46" t="s">
        <v>155</v>
      </c>
      <c r="G42" s="46" t="s">
        <v>227</v>
      </c>
      <c r="H42" s="46">
        <v>901432582</v>
      </c>
      <c r="I42" s="56" t="s">
        <v>232</v>
      </c>
      <c r="J42" s="48">
        <v>45576</v>
      </c>
      <c r="K42" s="49">
        <v>30640</v>
      </c>
      <c r="L42" s="50" t="s">
        <v>294</v>
      </c>
      <c r="M42" s="48">
        <v>45616</v>
      </c>
      <c r="N42" s="75" t="s">
        <v>210</v>
      </c>
      <c r="O42" s="48">
        <v>45621</v>
      </c>
      <c r="P42" s="48" t="s">
        <v>166</v>
      </c>
      <c r="Q42" s="48">
        <v>45622</v>
      </c>
      <c r="R42" s="72"/>
      <c r="S42" s="48"/>
      <c r="T42" s="48" t="s">
        <v>145</v>
      </c>
      <c r="U42" s="48"/>
      <c r="V42" s="48">
        <f>+EstadoSolicitudes[[#This Row],[Fecha respuesta final OR]]+180+90</f>
        <v>270</v>
      </c>
      <c r="X42" s="46"/>
    </row>
    <row r="43" spans="1:24" hidden="1" x14ac:dyDescent="0.25">
      <c r="A43" s="152">
        <f t="shared" si="3"/>
        <v>37</v>
      </c>
      <c r="B43" s="46" t="s">
        <v>295</v>
      </c>
      <c r="C43" s="46" t="str">
        <f>+IF(EstadoSolicitudes[[#This Row],[Aprobado OR]]="Aprobado",EstadoSolicitudes[[#This Row],[Aprobado OR]],
IF(EstadoSolicitudes[[#This Row],[Aprobado OR]]="Cancelado",EstadoSolicitudes[[#This Row],[Aprobado OR]],
IF(EstadoSolicitudes[[#This Row],[Cargue estudio al OR]]&gt;1,"Verificación Técnica",
IF(EstadoSolicitudes[[#This Row],[Fecha solicitud estudio]]&gt;1,"Estudio de conexión",
IF(EstadoSolicitudes[[#This Row],[Insumos revisados]]="No",IF(EstadoSolicitudes[[#This Row],[Fecha entrega insumos OR]]&gt;1,"Evolti","Espera de insumos"),
"Evolti")))))</f>
        <v>Evolti</v>
      </c>
      <c r="D43" s="46" t="s">
        <v>153</v>
      </c>
      <c r="G43" s="46" t="s">
        <v>227</v>
      </c>
      <c r="H43" s="46">
        <v>901432582</v>
      </c>
      <c r="I43" s="56" t="s">
        <v>232</v>
      </c>
      <c r="J43" s="48">
        <v>45601</v>
      </c>
      <c r="K43" s="49">
        <v>3062</v>
      </c>
      <c r="L43" s="50" t="s">
        <v>241</v>
      </c>
      <c r="M43" s="48">
        <v>45622</v>
      </c>
      <c r="N43" s="75" t="s">
        <v>229</v>
      </c>
      <c r="R43" s="72"/>
      <c r="S43" s="48"/>
      <c r="T43" s="48" t="s">
        <v>145</v>
      </c>
      <c r="U43" s="48"/>
      <c r="V43" s="48"/>
      <c r="X43" s="46"/>
    </row>
    <row r="44" spans="1:24" hidden="1" x14ac:dyDescent="0.25">
      <c r="A44" s="152">
        <f t="shared" si="3"/>
        <v>38</v>
      </c>
      <c r="B44" s="46" t="s">
        <v>296</v>
      </c>
      <c r="C44" s="46" t="str">
        <f>+IF(EstadoSolicitudes[[#This Row],[Aprobado OR]]="Aprobado",EstadoSolicitudes[[#This Row],[Aprobado OR]],
IF(EstadoSolicitudes[[#This Row],[Aprobado OR]]="Cancelado",EstadoSolicitudes[[#This Row],[Aprobado OR]],
IF(EstadoSolicitudes[[#This Row],[Cargue estudio al OR]]&gt;1,"Verificación Técnica",
IF(EstadoSolicitudes[[#This Row],[Fecha solicitud estudio]]&gt;1,"Estudio de conexión",
IF(EstadoSolicitudes[[#This Row],[Insumos revisados]]="No",IF(EstadoSolicitudes[[#This Row],[Fecha entrega insumos OR]]&gt;1,"Evolti","Espera de insumos"),
"Evolti")))))</f>
        <v>Evolti</v>
      </c>
      <c r="D44" s="46" t="s">
        <v>153</v>
      </c>
      <c r="G44" s="46" t="s">
        <v>227</v>
      </c>
      <c r="H44" s="46">
        <v>901432582</v>
      </c>
      <c r="I44" s="56" t="s">
        <v>232</v>
      </c>
      <c r="J44" s="48">
        <v>45601</v>
      </c>
      <c r="K44" s="46">
        <v>3063</v>
      </c>
      <c r="L44" s="50" t="s">
        <v>241</v>
      </c>
      <c r="M44" s="48">
        <v>45622</v>
      </c>
      <c r="N44" s="75" t="s">
        <v>229</v>
      </c>
      <c r="R44" s="72"/>
      <c r="S44" s="48"/>
      <c r="T44" s="48" t="s">
        <v>145</v>
      </c>
      <c r="U44" s="48"/>
      <c r="V44" s="48"/>
      <c r="X44" s="46"/>
    </row>
    <row r="45" spans="1:24" hidden="1" x14ac:dyDescent="0.25">
      <c r="A45" s="152">
        <f t="shared" si="3"/>
        <v>39</v>
      </c>
      <c r="B45" s="154" t="s">
        <v>297</v>
      </c>
      <c r="C45" s="46" t="str">
        <f>+IF(EstadoSolicitudes[[#This Row],[Aprobado OR]]="Aprobado",EstadoSolicitudes[[#This Row],[Aprobado OR]],
IF(EstadoSolicitudes[[#This Row],[Aprobado OR]]="Cancelado",EstadoSolicitudes[[#This Row],[Aprobado OR]],
IF(EstadoSolicitudes[[#This Row],[Cargue estudio al OR]]&gt;1,"Verificación Técnica",
IF(EstadoSolicitudes[[#This Row],[Fecha solicitud estudio]]&gt;1,"Estudio de conexión",
IF(EstadoSolicitudes[[#This Row],[Insumos revisados]]="No",IF(EstadoSolicitudes[[#This Row],[Fecha entrega insumos OR]]&gt;1,"Evolti","Espera de insumos"),
"Evolti")))))</f>
        <v>Cancelado</v>
      </c>
      <c r="D45" s="46" t="s">
        <v>155</v>
      </c>
      <c r="G45" s="46" t="s">
        <v>227</v>
      </c>
      <c r="H45" s="46">
        <v>901432582</v>
      </c>
      <c r="I45" s="56" t="s">
        <v>232</v>
      </c>
      <c r="J45" s="48">
        <v>45603</v>
      </c>
      <c r="K45" s="49">
        <v>30747</v>
      </c>
      <c r="L45" s="50"/>
      <c r="N45" s="75" t="s">
        <v>229</v>
      </c>
      <c r="R45" s="72"/>
      <c r="S45" s="48"/>
      <c r="T45" s="48" t="s">
        <v>148</v>
      </c>
      <c r="U45" s="48"/>
      <c r="V45" s="48"/>
      <c r="W45" s="48" t="s">
        <v>298</v>
      </c>
      <c r="X45" s="46"/>
    </row>
    <row r="46" spans="1:24" hidden="1" x14ac:dyDescent="0.25">
      <c r="A46" s="152">
        <f t="shared" si="3"/>
        <v>40</v>
      </c>
      <c r="B46" s="46" t="s">
        <v>299</v>
      </c>
      <c r="C46" s="46" t="str">
        <f>+IF(EstadoSolicitudes[[#This Row],[Aprobado OR]]="Aprobado",EstadoSolicitudes[[#This Row],[Aprobado OR]],
IF(EstadoSolicitudes[[#This Row],[Aprobado OR]]="Cancelado",EstadoSolicitudes[[#This Row],[Aprobado OR]],
IF(EstadoSolicitudes[[#This Row],[Cargue estudio al OR]]&gt;1,"Verificación Técnica",
IF(EstadoSolicitudes[[#This Row],[Fecha solicitud estudio]]&gt;1,"Estudio de conexión",
IF(EstadoSolicitudes[[#This Row],[Insumos revisados]]="No",IF(EstadoSolicitudes[[#This Row],[Fecha entrega insumos OR]]&gt;1,"Evolti","Espera de insumos"),
"Evolti")))))</f>
        <v>Cancelado</v>
      </c>
      <c r="D46" s="46" t="s">
        <v>155</v>
      </c>
      <c r="G46" s="46" t="s">
        <v>227</v>
      </c>
      <c r="H46" s="46">
        <v>901432582</v>
      </c>
      <c r="I46" s="56" t="s">
        <v>232</v>
      </c>
      <c r="J46" s="48">
        <v>45603</v>
      </c>
      <c r="K46" s="49">
        <v>30748</v>
      </c>
      <c r="L46" s="50"/>
      <c r="N46" s="75" t="s">
        <v>229</v>
      </c>
      <c r="R46" s="72"/>
      <c r="S46" s="48"/>
      <c r="T46" s="48" t="s">
        <v>148</v>
      </c>
      <c r="U46" s="48"/>
      <c r="V46" s="48"/>
      <c r="W46" s="48" t="s">
        <v>298</v>
      </c>
      <c r="X46" s="46"/>
    </row>
    <row r="47" spans="1:24" hidden="1" x14ac:dyDescent="0.25">
      <c r="A47" s="152">
        <f t="shared" si="3"/>
        <v>41</v>
      </c>
      <c r="B47" s="46" t="s">
        <v>300</v>
      </c>
      <c r="C47" s="46" t="str">
        <f>+IF(EstadoSolicitudes[[#This Row],[Aprobado OR]]="Aprobado",EstadoSolicitudes[[#This Row],[Aprobado OR]],
IF(EstadoSolicitudes[[#This Row],[Aprobado OR]]="Cancelado",EstadoSolicitudes[[#This Row],[Aprobado OR]],
IF(EstadoSolicitudes[[#This Row],[Cargue estudio al OR]]&gt;1,"Verificación Técnica",
IF(EstadoSolicitudes[[#This Row],[Fecha solicitud estudio]]&gt;1,"Estudio de conexión",
IF(EstadoSolicitudes[[#This Row],[Insumos revisados]]="No",IF(EstadoSolicitudes[[#This Row],[Fecha entrega insumos OR]]&gt;1,"Evolti","Espera de insumos"),
"Evolti")))))</f>
        <v>Evolti</v>
      </c>
      <c r="D47" s="46" t="s">
        <v>156</v>
      </c>
      <c r="G47" s="46" t="s">
        <v>227</v>
      </c>
      <c r="H47" s="46">
        <v>901432582</v>
      </c>
      <c r="I47" s="56" t="s">
        <v>232</v>
      </c>
      <c r="J47" s="48">
        <v>45603</v>
      </c>
      <c r="K47" s="49"/>
      <c r="L47" s="50"/>
      <c r="M47" s="48">
        <v>45615</v>
      </c>
      <c r="N47" s="75" t="s">
        <v>229</v>
      </c>
      <c r="R47" s="72"/>
      <c r="S47" s="48"/>
      <c r="T47" s="48" t="s">
        <v>145</v>
      </c>
      <c r="U47" s="48"/>
      <c r="V47" s="48"/>
      <c r="W47" s="48" t="s">
        <v>286</v>
      </c>
      <c r="X47" s="46"/>
    </row>
    <row r="48" spans="1:24" hidden="1" x14ac:dyDescent="0.25">
      <c r="A48" s="152">
        <f t="shared" ref="A48:A54" si="4">+A47+1</f>
        <v>42</v>
      </c>
      <c r="B48" s="46" t="s">
        <v>301</v>
      </c>
      <c r="C48" s="46" t="str">
        <f>+IF(EstadoSolicitudes[[#This Row],[Aprobado OR]]="Aprobado",EstadoSolicitudes[[#This Row],[Aprobado OR]],
IF(EstadoSolicitudes[[#This Row],[Aprobado OR]]="Cancelado",EstadoSolicitudes[[#This Row],[Aprobado OR]],
IF(EstadoSolicitudes[[#This Row],[Cargue estudio al OR]]&gt;1,"Verificación Técnica",
IF(EstadoSolicitudes[[#This Row],[Fecha solicitud estudio]]&gt;1,"Estudio de conexión",
IF(EstadoSolicitudes[[#This Row],[Insumos revisados]]="No",IF(EstadoSolicitudes[[#This Row],[Fecha entrega insumos OR]]&gt;1,"Evolti","Espera de insumos"),
"Evolti")))))</f>
        <v>Evolti</v>
      </c>
      <c r="D48" s="46" t="s">
        <v>156</v>
      </c>
      <c r="G48" s="46" t="s">
        <v>227</v>
      </c>
      <c r="H48" s="46">
        <v>901432583</v>
      </c>
      <c r="I48" s="56" t="s">
        <v>232</v>
      </c>
      <c r="J48" s="48">
        <v>45603</v>
      </c>
      <c r="K48" s="49"/>
      <c r="L48" s="50"/>
      <c r="M48" s="48">
        <v>45615</v>
      </c>
      <c r="N48" s="75" t="s">
        <v>229</v>
      </c>
      <c r="R48" s="72"/>
      <c r="S48" s="48"/>
      <c r="T48" s="48" t="s">
        <v>145</v>
      </c>
      <c r="U48" s="48"/>
      <c r="V48" s="48"/>
      <c r="W48" s="48" t="s">
        <v>286</v>
      </c>
      <c r="X48" s="46"/>
    </row>
    <row r="49" spans="1:24" hidden="1" x14ac:dyDescent="0.25">
      <c r="A49" s="152">
        <f t="shared" si="4"/>
        <v>43</v>
      </c>
      <c r="B49" s="46" t="s">
        <v>302</v>
      </c>
      <c r="C49" s="46" t="str">
        <f>+IF(EstadoSolicitudes[[#This Row],[Aprobado OR]]="Aprobado",EstadoSolicitudes[[#This Row],[Aprobado OR]],
IF(EstadoSolicitudes[[#This Row],[Aprobado OR]]="Cancelado",EstadoSolicitudes[[#This Row],[Aprobado OR]],
IF(EstadoSolicitudes[[#This Row],[Cargue estudio al OR]]&gt;1,"Verificación Técnica",
IF(EstadoSolicitudes[[#This Row],[Fecha solicitud estudio]]&gt;1,"Estudio de conexión",
IF(EstadoSolicitudes[[#This Row],[Insumos revisados]]="No",IF(EstadoSolicitudes[[#This Row],[Fecha entrega insumos OR]]&gt;1,"Evolti","Espera de insumos"),
"Evolti")))))</f>
        <v>Estudio de conexión</v>
      </c>
      <c r="D49" s="46" t="s">
        <v>151</v>
      </c>
      <c r="G49" s="46" t="s">
        <v>303</v>
      </c>
      <c r="H49" s="46">
        <v>9015616978</v>
      </c>
      <c r="I49" s="74" t="s">
        <v>232</v>
      </c>
      <c r="J49" s="48">
        <v>45612</v>
      </c>
      <c r="K49" s="50">
        <v>9097759</v>
      </c>
      <c r="L49" s="50"/>
      <c r="M49" s="48">
        <v>45622</v>
      </c>
      <c r="N49" s="75" t="s">
        <v>229</v>
      </c>
      <c r="O49" s="48">
        <v>45631</v>
      </c>
      <c r="Q49" s="72"/>
      <c r="R49" s="72"/>
      <c r="S49" s="48"/>
      <c r="T49" s="48" t="s">
        <v>145</v>
      </c>
      <c r="U49" s="48"/>
      <c r="V49" s="48"/>
      <c r="X49" s="46"/>
    </row>
    <row r="50" spans="1:24" hidden="1" x14ac:dyDescent="0.25">
      <c r="A50" s="152">
        <f t="shared" si="4"/>
        <v>44</v>
      </c>
      <c r="B50" s="46" t="s">
        <v>304</v>
      </c>
      <c r="C50" s="140" t="s">
        <v>305</v>
      </c>
      <c r="D50" s="46" t="s">
        <v>151</v>
      </c>
      <c r="G50" s="46" t="s">
        <v>306</v>
      </c>
      <c r="H50" s="46">
        <v>901903482</v>
      </c>
      <c r="I50" s="74" t="s">
        <v>232</v>
      </c>
      <c r="J50" s="48">
        <v>45612</v>
      </c>
      <c r="K50" s="50" t="s">
        <v>307</v>
      </c>
      <c r="L50" s="50"/>
      <c r="M50" s="48">
        <v>45643</v>
      </c>
      <c r="N50" s="75" t="s">
        <v>229</v>
      </c>
      <c r="O50" s="48">
        <v>45670</v>
      </c>
      <c r="P50" s="48" t="s">
        <v>166</v>
      </c>
      <c r="Q50" s="48">
        <v>45672</v>
      </c>
      <c r="R50" s="72"/>
      <c r="S50" s="48">
        <v>45727</v>
      </c>
      <c r="T50" s="48" t="s">
        <v>145</v>
      </c>
      <c r="U50" s="48"/>
      <c r="V50" s="48"/>
      <c r="W50" s="48" t="s">
        <v>286</v>
      </c>
      <c r="X50" s="46"/>
    </row>
    <row r="51" spans="1:24" hidden="1" x14ac:dyDescent="0.25">
      <c r="A51" s="152">
        <f t="shared" si="4"/>
        <v>45</v>
      </c>
      <c r="B51" s="46" t="s">
        <v>308</v>
      </c>
      <c r="C51" s="46" t="s">
        <v>148</v>
      </c>
      <c r="D51" s="46" t="s">
        <v>151</v>
      </c>
      <c r="G51" s="46" t="s">
        <v>227</v>
      </c>
      <c r="H51" s="46">
        <v>901432582</v>
      </c>
      <c r="I51" s="74" t="s">
        <v>232</v>
      </c>
      <c r="J51" s="48">
        <v>45614</v>
      </c>
      <c r="K51" s="50">
        <v>9187734</v>
      </c>
      <c r="L51" s="50"/>
      <c r="M51" s="48"/>
      <c r="N51" s="75" t="s">
        <v>229</v>
      </c>
      <c r="Q51" s="72"/>
      <c r="R51" s="72"/>
      <c r="S51" s="48"/>
      <c r="T51" s="48" t="s">
        <v>145</v>
      </c>
      <c r="U51" s="48"/>
      <c r="V51" s="48"/>
      <c r="X51" s="46"/>
    </row>
    <row r="52" spans="1:24" hidden="1" x14ac:dyDescent="0.25">
      <c r="A52" s="152">
        <f t="shared" si="4"/>
        <v>46</v>
      </c>
      <c r="B52" s="46" t="s">
        <v>309</v>
      </c>
      <c r="C52" s="46" t="str">
        <f>+IF(EstadoSolicitudes[[#This Row],[Aprobado OR]]="Aprobado",EstadoSolicitudes[[#This Row],[Aprobado OR]],
IF(EstadoSolicitudes[[#This Row],[Aprobado OR]]="Cancelado",EstadoSolicitudes[[#This Row],[Aprobado OR]],
IF(EstadoSolicitudes[[#This Row],[Cargue estudio al OR]]&gt;1,"Verificación Técnica",
IF(EstadoSolicitudes[[#This Row],[Fecha solicitud estudio]]&gt;1,"Estudio de conexión",
IF(EstadoSolicitudes[[#This Row],[Insumos revisados]]="No",IF(EstadoSolicitudes[[#This Row],[Fecha entrega insumos OR]]&gt;1,"Evolti","Espera de insumos"),
"Evolti")))))</f>
        <v>Evolti</v>
      </c>
      <c r="D52" s="46" t="s">
        <v>153</v>
      </c>
      <c r="G52" s="46" t="s">
        <v>227</v>
      </c>
      <c r="H52" s="46">
        <v>901432582</v>
      </c>
      <c r="I52" s="56" t="s">
        <v>232</v>
      </c>
      <c r="J52" s="48">
        <v>45614</v>
      </c>
      <c r="K52" s="49">
        <v>3121</v>
      </c>
      <c r="L52" s="50"/>
      <c r="M52" s="48">
        <v>45630</v>
      </c>
      <c r="N52" s="75" t="s">
        <v>229</v>
      </c>
      <c r="R52" s="72"/>
      <c r="S52" s="48"/>
      <c r="T52" s="48" t="s">
        <v>145</v>
      </c>
      <c r="U52" s="48"/>
      <c r="V52" s="48"/>
      <c r="X52" s="46"/>
    </row>
    <row r="53" spans="1:24" hidden="1" x14ac:dyDescent="0.25">
      <c r="A53" s="152">
        <f t="shared" si="4"/>
        <v>47</v>
      </c>
      <c r="B53" s="154" t="s">
        <v>310</v>
      </c>
      <c r="C53" s="46" t="str">
        <f>+IF(EstadoSolicitudes[[#This Row],[Aprobado OR]]="Aprobado",EstadoSolicitudes[[#This Row],[Aprobado OR]],
IF(EstadoSolicitudes[[#This Row],[Aprobado OR]]="Cancelado",EstadoSolicitudes[[#This Row],[Aprobado OR]],
IF(EstadoSolicitudes[[#This Row],[Cargue estudio al OR]]&gt;1,"Verificación Técnica",
IF(EstadoSolicitudes[[#This Row],[Fecha solicitud estudio]]&gt;1,"Estudio de conexión",
IF(EstadoSolicitudes[[#This Row],[Insumos revisados]]="No",IF(EstadoSolicitudes[[#This Row],[Fecha entrega insumos OR]]&gt;1,"Evolti","Espera de insumos"),
"Evolti")))))</f>
        <v>Evolti</v>
      </c>
      <c r="D53" s="46" t="s">
        <v>155</v>
      </c>
      <c r="G53" s="46" t="s">
        <v>227</v>
      </c>
      <c r="H53" s="46">
        <v>901432582</v>
      </c>
      <c r="I53" s="56" t="s">
        <v>232</v>
      </c>
      <c r="J53" s="48">
        <v>45616</v>
      </c>
      <c r="K53" s="49">
        <v>31014</v>
      </c>
      <c r="L53" s="50" t="s">
        <v>311</v>
      </c>
      <c r="M53" s="48">
        <v>45625</v>
      </c>
      <c r="N53" s="75" t="s">
        <v>229</v>
      </c>
      <c r="R53" s="72"/>
      <c r="S53" s="48"/>
      <c r="T53" s="48" t="s">
        <v>145</v>
      </c>
      <c r="U53" s="48"/>
      <c r="V53" s="48"/>
      <c r="X53" s="46"/>
    </row>
    <row r="54" spans="1:24" hidden="1" x14ac:dyDescent="0.25">
      <c r="A54" s="152">
        <f t="shared" si="4"/>
        <v>48</v>
      </c>
      <c r="B54" s="46" t="s">
        <v>312</v>
      </c>
      <c r="C54" s="46" t="str">
        <f>+IF(EstadoSolicitudes[[#This Row],[Aprobado OR]]="Aprobado",EstadoSolicitudes[[#This Row],[Aprobado OR]],
IF(EstadoSolicitudes[[#This Row],[Aprobado OR]]="Cancelado",EstadoSolicitudes[[#This Row],[Aprobado OR]],
IF(EstadoSolicitudes[[#This Row],[Cargue estudio al OR]]&gt;1,"Verificación Técnica",
IF(EstadoSolicitudes[[#This Row],[Fecha solicitud estudio]]&gt;1,"Estudio de conexión",
IF(EstadoSolicitudes[[#This Row],[Insumos revisados]]="No",IF(EstadoSolicitudes[[#This Row],[Fecha entrega insumos OR]]&gt;1,"Evolti","Espera de insumos"),
"Evolti")))))</f>
        <v>Evolti</v>
      </c>
      <c r="D54" s="46" t="s">
        <v>155</v>
      </c>
      <c r="G54" s="46" t="s">
        <v>227</v>
      </c>
      <c r="H54" s="46">
        <v>901432582</v>
      </c>
      <c r="I54" s="56" t="s">
        <v>232</v>
      </c>
      <c r="J54" s="48">
        <v>45616</v>
      </c>
      <c r="K54" s="49">
        <v>31016</v>
      </c>
      <c r="L54" s="50" t="s">
        <v>313</v>
      </c>
      <c r="M54" s="48">
        <v>45625</v>
      </c>
      <c r="N54" s="75" t="s">
        <v>229</v>
      </c>
      <c r="R54" s="72"/>
      <c r="S54" s="48"/>
      <c r="T54" s="48" t="s">
        <v>145</v>
      </c>
      <c r="U54" s="48"/>
      <c r="V54" s="48"/>
      <c r="X54" s="46"/>
    </row>
    <row r="55" spans="1:24" hidden="1" x14ac:dyDescent="0.25">
      <c r="A55" s="152">
        <f t="shared" ref="A55:A56" si="5">+A54+1</f>
        <v>49</v>
      </c>
      <c r="B55" s="46" t="s">
        <v>314</v>
      </c>
      <c r="C55" s="46" t="str">
        <f>+IF(EstadoSolicitudes[[#This Row],[Aprobado OR]]="Aprobado",EstadoSolicitudes[[#This Row],[Aprobado OR]],
IF(EstadoSolicitudes[[#This Row],[Aprobado OR]]="Cancelado",EstadoSolicitudes[[#This Row],[Aprobado OR]],
IF(EstadoSolicitudes[[#This Row],[Cargue estudio al OR]]&gt;1,"Verificación Técnica",
IF(EstadoSolicitudes[[#This Row],[Fecha solicitud estudio]]&gt;1,"Estudio de conexión",
IF(EstadoSolicitudes[[#This Row],[Insumos revisados]]="No",IF(EstadoSolicitudes[[#This Row],[Fecha entrega insumos OR]]&gt;1,"Evolti","Espera de insumos"),
"Evolti")))))</f>
        <v>Estudio de conexión</v>
      </c>
      <c r="D55" s="46" t="s">
        <v>154</v>
      </c>
      <c r="G55" s="46" t="s">
        <v>227</v>
      </c>
      <c r="H55" s="46">
        <v>901432582</v>
      </c>
      <c r="I55" s="56" t="s">
        <v>232</v>
      </c>
      <c r="J55" s="48">
        <v>45616</v>
      </c>
      <c r="K55" s="49">
        <v>22132</v>
      </c>
      <c r="L55" s="50"/>
      <c r="M55" s="48">
        <v>45639</v>
      </c>
      <c r="N55" s="75" t="s">
        <v>210</v>
      </c>
      <c r="O55" s="48">
        <v>45643</v>
      </c>
      <c r="P55" s="48" t="s">
        <v>166</v>
      </c>
      <c r="R55" s="72"/>
      <c r="S55" s="48"/>
      <c r="T55" s="48" t="s">
        <v>145</v>
      </c>
      <c r="U55" s="48"/>
      <c r="V55" s="48"/>
      <c r="X55" s="46"/>
    </row>
    <row r="56" spans="1:24" hidden="1" x14ac:dyDescent="0.25">
      <c r="A56" s="152">
        <f t="shared" si="5"/>
        <v>50</v>
      </c>
      <c r="B56" s="46" t="s">
        <v>315</v>
      </c>
      <c r="C56" s="46" t="str">
        <f>+IF(EstadoSolicitudes[[#This Row],[Aprobado OR]]="Aprobado",EstadoSolicitudes[[#This Row],[Aprobado OR]],
IF(EstadoSolicitudes[[#This Row],[Aprobado OR]]="Cancelado",EstadoSolicitudes[[#This Row],[Aprobado OR]],
IF(EstadoSolicitudes[[#This Row],[Cargue estudio al OR]]&gt;1,"Verificación Técnica",
IF(EstadoSolicitudes[[#This Row],[Fecha solicitud estudio]]&gt;1,"Estudio de conexión",
IF(EstadoSolicitudes[[#This Row],[Insumos revisados]]="No",IF(EstadoSolicitudes[[#This Row],[Fecha entrega insumos OR]]&gt;1,"Evolti","Espera de insumos"),
"Evolti")))))</f>
        <v>Estudio de conexión</v>
      </c>
      <c r="D56" s="46" t="s">
        <v>154</v>
      </c>
      <c r="G56" s="46" t="s">
        <v>227</v>
      </c>
      <c r="H56" s="46">
        <v>901432582</v>
      </c>
      <c r="I56" s="56" t="s">
        <v>232</v>
      </c>
      <c r="J56" s="48">
        <v>45617</v>
      </c>
      <c r="K56" s="49">
        <v>22139</v>
      </c>
      <c r="L56" s="50"/>
      <c r="M56" s="48">
        <v>45639</v>
      </c>
      <c r="N56" s="75" t="s">
        <v>210</v>
      </c>
      <c r="O56" s="48">
        <v>45643</v>
      </c>
      <c r="P56" s="48" t="s">
        <v>166</v>
      </c>
      <c r="R56" s="72"/>
      <c r="S56" s="48"/>
      <c r="T56" s="48" t="s">
        <v>145</v>
      </c>
      <c r="U56" s="48"/>
      <c r="V56" s="48"/>
      <c r="X56" s="46"/>
    </row>
    <row r="57" spans="1:24" hidden="1" x14ac:dyDescent="0.25">
      <c r="A57" s="152">
        <f>+A56+1</f>
        <v>51</v>
      </c>
      <c r="B57" s="46" t="s">
        <v>316</v>
      </c>
      <c r="C57" s="46" t="str">
        <f>+IF(EstadoSolicitudes[[#This Row],[Aprobado OR]]="Aprobado",EstadoSolicitudes[[#This Row],[Aprobado OR]],
IF(EstadoSolicitudes[[#This Row],[Aprobado OR]]="Cancelado",EstadoSolicitudes[[#This Row],[Aprobado OR]],
IF(EstadoSolicitudes[[#This Row],[Cargue estudio al OR]]&gt;1,"Verificación Técnica",
IF(EstadoSolicitudes[[#This Row],[Fecha solicitud estudio]]&gt;1,"Estudio de conexión",
IF(EstadoSolicitudes[[#This Row],[Insumos revisados]]="No",IF(EstadoSolicitudes[[#This Row],[Fecha entrega insumos OR]]&gt;1,"Evolti","Espera de insumos"),
"Evolti")))))</f>
        <v>Estudio de conexión</v>
      </c>
      <c r="D57" s="46" t="s">
        <v>154</v>
      </c>
      <c r="G57" s="46" t="s">
        <v>227</v>
      </c>
      <c r="H57" s="46">
        <v>901432582</v>
      </c>
      <c r="I57" s="56" t="s">
        <v>232</v>
      </c>
      <c r="J57" s="48">
        <v>45617</v>
      </c>
      <c r="K57" s="49">
        <v>22141</v>
      </c>
      <c r="L57" s="50"/>
      <c r="M57" s="48">
        <v>45639</v>
      </c>
      <c r="N57" s="75" t="s">
        <v>210</v>
      </c>
      <c r="O57" s="48">
        <v>45643</v>
      </c>
      <c r="P57" s="48" t="s">
        <v>166</v>
      </c>
      <c r="R57" s="72"/>
      <c r="S57" s="48"/>
      <c r="T57" s="48" t="s">
        <v>145</v>
      </c>
      <c r="U57" s="48"/>
      <c r="V57" s="48"/>
      <c r="X57" s="46"/>
    </row>
    <row r="58" spans="1:24" hidden="1" x14ac:dyDescent="0.25">
      <c r="A58" s="152">
        <f>+A57+1</f>
        <v>52</v>
      </c>
      <c r="B58" s="46" t="s">
        <v>317</v>
      </c>
      <c r="C58" s="46" t="str">
        <f>+IF(EstadoSolicitudes[[#This Row],[Aprobado OR]]="Aprobado",EstadoSolicitudes[[#This Row],[Aprobado OR]],
IF(EstadoSolicitudes[[#This Row],[Aprobado OR]]="Cancelado",EstadoSolicitudes[[#This Row],[Aprobado OR]],
IF(EstadoSolicitudes[[#This Row],[Cargue estudio al OR]]&gt;1,"Verificación Técnica",
IF(EstadoSolicitudes[[#This Row],[Fecha solicitud estudio]]&gt;1,"Estudio de conexión",
IF(EstadoSolicitudes[[#This Row],[Insumos revisados]]="No",IF(EstadoSolicitudes[[#This Row],[Fecha entrega insumos OR]]&gt;1,"Evolti","Espera de insumos"),
"Evolti")))))</f>
        <v>Estudio de conexión</v>
      </c>
      <c r="D58" s="46" t="s">
        <v>154</v>
      </c>
      <c r="E58" s="152" t="s">
        <v>318</v>
      </c>
      <c r="F58" s="152" t="s">
        <v>319</v>
      </c>
      <c r="G58" s="46" t="s">
        <v>227</v>
      </c>
      <c r="H58" s="46">
        <v>901432582</v>
      </c>
      <c r="I58" s="78" t="s">
        <v>232</v>
      </c>
      <c r="J58" s="48">
        <v>45617</v>
      </c>
      <c r="K58" s="49">
        <v>22144</v>
      </c>
      <c r="L58" s="50"/>
      <c r="M58" s="48">
        <v>45639</v>
      </c>
      <c r="N58" s="75" t="s">
        <v>210</v>
      </c>
      <c r="O58" s="48">
        <v>45643</v>
      </c>
      <c r="P58" s="48" t="s">
        <v>166</v>
      </c>
      <c r="R58" s="72"/>
      <c r="S58" s="48"/>
      <c r="T58" s="48" t="s">
        <v>145</v>
      </c>
      <c r="U58" s="48"/>
      <c r="V58" s="48"/>
      <c r="X58" s="46"/>
    </row>
    <row r="59" spans="1:24" hidden="1" x14ac:dyDescent="0.25">
      <c r="A59" s="152">
        <f>+A58+1</f>
        <v>53</v>
      </c>
      <c r="B59" s="46" t="s">
        <v>320</v>
      </c>
      <c r="C59" s="46" t="str">
        <f>+IF(EstadoSolicitudes[[#This Row],[Aprobado OR]]="Aprobado",EstadoSolicitudes[[#This Row],[Aprobado OR]],
IF(EstadoSolicitudes[[#This Row],[Aprobado OR]]="Cancelado",EstadoSolicitudes[[#This Row],[Aprobado OR]],
IF(EstadoSolicitudes[[#This Row],[Cargue estudio al OR]]&gt;1,"Verificación Técnica",
IF(EstadoSolicitudes[[#This Row],[Fecha solicitud estudio]]&gt;1,"Estudio de conexión",
IF(EstadoSolicitudes[[#This Row],[Insumos revisados]]="No",IF(EstadoSolicitudes[[#This Row],[Fecha entrega insumos OR]]&gt;1,"Evolti","Espera de insumos"),
"Evolti")))))</f>
        <v>Estudio de conexión</v>
      </c>
      <c r="D59" s="46" t="s">
        <v>154</v>
      </c>
      <c r="E59" s="152" t="s">
        <v>318</v>
      </c>
      <c r="F59" s="152" t="s">
        <v>319</v>
      </c>
      <c r="G59" s="46" t="s">
        <v>227</v>
      </c>
      <c r="H59" s="46">
        <v>901432582</v>
      </c>
      <c r="I59" s="78" t="s">
        <v>232</v>
      </c>
      <c r="J59" s="48">
        <v>45617</v>
      </c>
      <c r="K59" s="49">
        <v>22145</v>
      </c>
      <c r="L59" s="50"/>
      <c r="M59" s="48">
        <v>45639</v>
      </c>
      <c r="N59" s="75" t="s">
        <v>210</v>
      </c>
      <c r="O59" s="48">
        <v>45643</v>
      </c>
      <c r="P59" s="48" t="s">
        <v>166</v>
      </c>
      <c r="R59" s="72"/>
      <c r="S59" s="48"/>
      <c r="T59" s="48" t="s">
        <v>145</v>
      </c>
      <c r="U59" s="48"/>
      <c r="V59" s="48"/>
      <c r="X59" s="46"/>
    </row>
    <row r="60" spans="1:24" hidden="1" x14ac:dyDescent="0.25">
      <c r="A60" s="152">
        <f>+A59+1</f>
        <v>54</v>
      </c>
      <c r="B60" s="46" t="s">
        <v>321</v>
      </c>
      <c r="C60" s="46" t="s">
        <v>322</v>
      </c>
      <c r="D60" s="46" t="s">
        <v>154</v>
      </c>
      <c r="E60" s="152" t="s">
        <v>318</v>
      </c>
      <c r="F60" s="152" t="s">
        <v>319</v>
      </c>
      <c r="G60" s="46" t="s">
        <v>227</v>
      </c>
      <c r="H60" s="46">
        <v>901432582</v>
      </c>
      <c r="I60" s="78" t="s">
        <v>232</v>
      </c>
      <c r="J60" s="48">
        <v>45617</v>
      </c>
      <c r="K60" s="49">
        <v>22146</v>
      </c>
      <c r="L60" s="50"/>
      <c r="M60" s="48">
        <v>45642</v>
      </c>
      <c r="N60" s="75" t="s">
        <v>229</v>
      </c>
      <c r="R60" s="72"/>
      <c r="S60" s="48"/>
      <c r="T60" s="48" t="s">
        <v>145</v>
      </c>
      <c r="U60" s="48"/>
      <c r="V60" s="48"/>
      <c r="X60" s="46"/>
    </row>
    <row r="61" spans="1:24" hidden="1" x14ac:dyDescent="0.25">
      <c r="A61" s="152">
        <f>+A60+1</f>
        <v>55</v>
      </c>
      <c r="B61" s="46" t="s">
        <v>323</v>
      </c>
      <c r="C61" s="46" t="s">
        <v>148</v>
      </c>
      <c r="D61" s="46" t="s">
        <v>151</v>
      </c>
      <c r="E61" s="152" t="s">
        <v>324</v>
      </c>
      <c r="F61" s="152" t="s">
        <v>325</v>
      </c>
      <c r="G61" s="46" t="s">
        <v>227</v>
      </c>
      <c r="H61" s="46">
        <v>901432582</v>
      </c>
      <c r="I61" s="78" t="s">
        <v>232</v>
      </c>
      <c r="J61" s="48">
        <v>45621</v>
      </c>
      <c r="K61" s="49">
        <v>9332984</v>
      </c>
      <c r="L61" s="50"/>
      <c r="M61" s="48">
        <v>45645</v>
      </c>
      <c r="N61" s="75" t="s">
        <v>229</v>
      </c>
      <c r="R61" s="72"/>
      <c r="S61" s="48"/>
      <c r="T61" s="48" t="s">
        <v>145</v>
      </c>
      <c r="U61" s="48"/>
      <c r="V61" s="48"/>
      <c r="X61" s="46"/>
    </row>
    <row r="62" spans="1:24" hidden="1" x14ac:dyDescent="0.25">
      <c r="A62" s="152">
        <v>56</v>
      </c>
      <c r="B62" s="46" t="s">
        <v>326</v>
      </c>
      <c r="C62" s="46" t="s">
        <v>148</v>
      </c>
      <c r="D62" s="46" t="s">
        <v>151</v>
      </c>
      <c r="E62" s="152" t="s">
        <v>324</v>
      </c>
      <c r="F62" s="152" t="s">
        <v>327</v>
      </c>
      <c r="G62" s="46" t="s">
        <v>227</v>
      </c>
      <c r="H62" s="46">
        <v>901432582</v>
      </c>
      <c r="I62" s="78" t="s">
        <v>232</v>
      </c>
      <c r="J62" s="48">
        <v>45622</v>
      </c>
      <c r="K62" s="49">
        <v>9353274</v>
      </c>
      <c r="L62" s="50"/>
      <c r="N62" s="75" t="s">
        <v>229</v>
      </c>
      <c r="R62" s="72"/>
      <c r="S62" s="48"/>
      <c r="T62" s="48" t="s">
        <v>145</v>
      </c>
      <c r="U62" s="48"/>
      <c r="V62" s="48"/>
      <c r="X62" s="46"/>
    </row>
    <row r="63" spans="1:24" hidden="1" x14ac:dyDescent="0.25">
      <c r="A63" s="152">
        <f t="shared" ref="A63:A68" si="6">+A62+1</f>
        <v>57</v>
      </c>
      <c r="B63" s="94" t="s">
        <v>328</v>
      </c>
      <c r="C63" s="46" t="s">
        <v>148</v>
      </c>
      <c r="D63" s="46" t="s">
        <v>155</v>
      </c>
      <c r="G63" s="46" t="s">
        <v>227</v>
      </c>
      <c r="H63" s="46">
        <v>901432582</v>
      </c>
      <c r="I63" s="78" t="s">
        <v>232</v>
      </c>
      <c r="J63" s="48">
        <v>45628</v>
      </c>
      <c r="K63" s="49">
        <v>31534</v>
      </c>
      <c r="L63" s="50"/>
      <c r="N63" s="75" t="s">
        <v>229</v>
      </c>
      <c r="R63" s="72"/>
      <c r="S63" s="48"/>
      <c r="T63" s="48" t="s">
        <v>145</v>
      </c>
      <c r="U63" s="48"/>
      <c r="V63" s="48"/>
      <c r="X63" s="46"/>
    </row>
    <row r="64" spans="1:24" hidden="1" x14ac:dyDescent="0.25">
      <c r="A64" s="152">
        <f t="shared" si="6"/>
        <v>58</v>
      </c>
      <c r="B64" s="46" t="s">
        <v>329</v>
      </c>
      <c r="C64" s="46" t="str">
        <f>+IF(EstadoSolicitudes[[#This Row],[Aprobado OR]]="Aprobado",EstadoSolicitudes[[#This Row],[Aprobado OR]],
IF(EstadoSolicitudes[[#This Row],[Aprobado OR]]="Cancelado",EstadoSolicitudes[[#This Row],[Aprobado OR]],
IF(EstadoSolicitudes[[#This Row],[Cargue estudio al OR]]&gt;1,"Verificación Técnica",
IF(EstadoSolicitudes[[#This Row],[Fecha solicitud estudio]]&gt;1,"Estudio de conexión",
IF(EstadoSolicitudes[[#This Row],[Insumos revisados]]="No",IF(EstadoSolicitudes[[#This Row],[Fecha entrega insumos OR]]&gt;1,"Evolti","Espera de insumos"),
"Evolti")))))</f>
        <v>Estudio de conexión</v>
      </c>
      <c r="D64" s="46" t="s">
        <v>155</v>
      </c>
      <c r="E64" s="152" t="s">
        <v>330</v>
      </c>
      <c r="F64" s="152" t="s">
        <v>331</v>
      </c>
      <c r="G64" s="46" t="s">
        <v>227</v>
      </c>
      <c r="H64" s="46">
        <v>901432582</v>
      </c>
      <c r="I64" s="78" t="s">
        <v>232</v>
      </c>
      <c r="J64" s="48">
        <v>45628</v>
      </c>
      <c r="K64" s="49">
        <v>31556</v>
      </c>
      <c r="L64" s="50"/>
      <c r="M64" s="48">
        <v>45667</v>
      </c>
      <c r="N64" s="75" t="s">
        <v>229</v>
      </c>
      <c r="O64" s="48">
        <v>45695</v>
      </c>
      <c r="P64" s="48" t="s">
        <v>166</v>
      </c>
      <c r="Q64" s="48">
        <v>45701</v>
      </c>
      <c r="R64" s="72" t="s">
        <v>332</v>
      </c>
      <c r="S64" s="48"/>
      <c r="T64" s="48" t="s">
        <v>145</v>
      </c>
      <c r="U64" s="48"/>
      <c r="V64" s="48">
        <f>+EstadoSolicitudes[[#This Row],[Fecha respuesta final OR]]+180+90</f>
        <v>270</v>
      </c>
      <c r="X64" s="46"/>
    </row>
    <row r="65" spans="1:24" ht="31.5" hidden="1" x14ac:dyDescent="0.25">
      <c r="A65" s="152">
        <f t="shared" si="6"/>
        <v>59</v>
      </c>
      <c r="B65" s="46" t="s">
        <v>333</v>
      </c>
      <c r="C65" s="46" t="str">
        <f>+IF(EstadoSolicitudes[[#This Row],[Aprobado OR]]="Aprobado",EstadoSolicitudes[[#This Row],[Aprobado OR]],
IF(EstadoSolicitudes[[#This Row],[Aprobado OR]]="Cancelado",EstadoSolicitudes[[#This Row],[Aprobado OR]],
IF(EstadoSolicitudes[[#This Row],[Cargue estudio al OR]]&gt;1,"Verificación Técnica",
IF(EstadoSolicitudes[[#This Row],[Fecha solicitud estudio]]&gt;1,"Estudio de conexión",
IF(EstadoSolicitudes[[#This Row],[Insumos revisados]]="No",IF(EstadoSolicitudes[[#This Row],[Fecha entrega insumos OR]]&gt;1,"Evolti","Espera de insumos"),
"Evolti")))))</f>
        <v>Evolti</v>
      </c>
      <c r="D65" s="46" t="s">
        <v>154</v>
      </c>
      <c r="E65" s="152" t="s">
        <v>334</v>
      </c>
      <c r="F65" s="233" t="s">
        <v>335</v>
      </c>
      <c r="G65" s="46" t="s">
        <v>227</v>
      </c>
      <c r="H65" s="46">
        <v>901432582</v>
      </c>
      <c r="I65" s="78" t="s">
        <v>232</v>
      </c>
      <c r="J65" s="48">
        <v>45629</v>
      </c>
      <c r="K65" s="49">
        <v>22235</v>
      </c>
      <c r="L65" s="50"/>
      <c r="M65" s="48">
        <v>45656</v>
      </c>
      <c r="N65" s="75" t="s">
        <v>229</v>
      </c>
      <c r="R65" s="72"/>
      <c r="S65" s="48"/>
      <c r="T65" s="48" t="s">
        <v>145</v>
      </c>
      <c r="U65" s="48"/>
      <c r="V65" s="48"/>
      <c r="X65" s="46"/>
    </row>
    <row r="66" spans="1:24" hidden="1" x14ac:dyDescent="0.25">
      <c r="A66" s="152">
        <f t="shared" si="6"/>
        <v>60</v>
      </c>
      <c r="B66" s="46" t="s">
        <v>336</v>
      </c>
      <c r="C66" s="46" t="s">
        <v>148</v>
      </c>
      <c r="D66" s="46" t="s">
        <v>154</v>
      </c>
      <c r="E66" s="152" t="s">
        <v>337</v>
      </c>
      <c r="F66" s="152" t="s">
        <v>338</v>
      </c>
      <c r="G66" s="46" t="s">
        <v>227</v>
      </c>
      <c r="H66" s="46">
        <v>901432582</v>
      </c>
      <c r="I66" s="78" t="s">
        <v>232</v>
      </c>
      <c r="J66" s="48">
        <v>45629</v>
      </c>
      <c r="K66" s="49">
        <v>22237</v>
      </c>
      <c r="L66" s="50"/>
      <c r="M66" s="48">
        <v>45656</v>
      </c>
      <c r="N66" s="75" t="s">
        <v>229</v>
      </c>
      <c r="R66" s="72"/>
      <c r="S66" s="48"/>
      <c r="T66" s="48" t="s">
        <v>145</v>
      </c>
      <c r="U66" s="48"/>
      <c r="V66" s="48"/>
      <c r="X66" s="46"/>
    </row>
    <row r="67" spans="1:24" hidden="1" x14ac:dyDescent="0.25">
      <c r="A67" s="152">
        <f t="shared" si="6"/>
        <v>61</v>
      </c>
      <c r="B67" s="46" t="s">
        <v>339</v>
      </c>
      <c r="C67" s="46" t="str">
        <f>+IF(EstadoSolicitudes[[#This Row],[Aprobado OR]]="Aprobado",EstadoSolicitudes[[#This Row],[Aprobado OR]],
IF(EstadoSolicitudes[[#This Row],[Aprobado OR]]="Cancelado",EstadoSolicitudes[[#This Row],[Aprobado OR]],
IF(EstadoSolicitudes[[#This Row],[Cargue estudio al OR]]&gt;1,"Verificación Técnica",
IF(EstadoSolicitudes[[#This Row],[Fecha solicitud estudio]]&gt;1,"Estudio de conexión",
IF(EstadoSolicitudes[[#This Row],[Insumos revisados]]="No",IF(EstadoSolicitudes[[#This Row],[Fecha entrega insumos OR]]&gt;1,"Evolti","Espera de insumos"),
"Evolti")))))</f>
        <v>Estudio de conexión</v>
      </c>
      <c r="D67" s="46" t="s">
        <v>154</v>
      </c>
      <c r="E67" s="152" t="s">
        <v>340</v>
      </c>
      <c r="F67" s="152" t="s">
        <v>341</v>
      </c>
      <c r="G67" s="46" t="s">
        <v>227</v>
      </c>
      <c r="H67" s="46">
        <v>901432582</v>
      </c>
      <c r="I67" s="78" t="s">
        <v>232</v>
      </c>
      <c r="J67" s="48">
        <v>45630</v>
      </c>
      <c r="K67" s="49">
        <v>22245</v>
      </c>
      <c r="L67" s="50"/>
      <c r="M67" s="48">
        <v>45656</v>
      </c>
      <c r="N67" s="75" t="s">
        <v>210</v>
      </c>
      <c r="O67" s="48">
        <v>45702</v>
      </c>
      <c r="P67" s="48" t="s">
        <v>166</v>
      </c>
      <c r="Q67" s="48">
        <v>45707</v>
      </c>
      <c r="R67" s="72" t="s">
        <v>342</v>
      </c>
      <c r="S67" s="48"/>
      <c r="T67" s="48" t="s">
        <v>145</v>
      </c>
      <c r="U67" s="48"/>
      <c r="V67" s="48">
        <f>+EstadoSolicitudes[[#This Row],[Fecha respuesta final OR]]+180+90</f>
        <v>270</v>
      </c>
    </row>
    <row r="68" spans="1:24" hidden="1" x14ac:dyDescent="0.25">
      <c r="A68" s="152">
        <f t="shared" si="6"/>
        <v>62</v>
      </c>
      <c r="B68" s="46" t="s">
        <v>343</v>
      </c>
      <c r="C68" s="46" t="str">
        <f>+IF(EstadoSolicitudes[[#This Row],[Aprobado OR]]="Aprobado",EstadoSolicitudes[[#This Row],[Aprobado OR]],
IF(EstadoSolicitudes[[#This Row],[Aprobado OR]]="Cancelado",EstadoSolicitudes[[#This Row],[Aprobado OR]],
IF(EstadoSolicitudes[[#This Row],[Cargue estudio al OR]]&gt;1,"Verificación Técnica",
IF(EstadoSolicitudes[[#This Row],[Fecha solicitud estudio]]&gt;1,"Estudio de conexión",
IF(EstadoSolicitudes[[#This Row],[Insumos revisados]]="No",IF(EstadoSolicitudes[[#This Row],[Fecha entrega insumos OR]]&gt;1,"Evolti","Espera de insumos"),
"Evolti")))))</f>
        <v>Estudio de conexión</v>
      </c>
      <c r="D68" s="46" t="s">
        <v>161</v>
      </c>
      <c r="E68" s="152" t="s">
        <v>344</v>
      </c>
      <c r="F68" s="152" t="s">
        <v>345</v>
      </c>
      <c r="G68" s="46" t="s">
        <v>227</v>
      </c>
      <c r="H68" s="46">
        <v>901432582</v>
      </c>
      <c r="I68" s="78" t="s">
        <v>232</v>
      </c>
      <c r="J68" s="48">
        <v>45633</v>
      </c>
      <c r="K68" s="46">
        <v>61453710</v>
      </c>
      <c r="L68" s="50"/>
      <c r="M68" s="48">
        <v>45664</v>
      </c>
      <c r="N68" s="75" t="s">
        <v>229</v>
      </c>
      <c r="O68" s="48">
        <v>45701</v>
      </c>
      <c r="P68" s="48" t="s">
        <v>166</v>
      </c>
      <c r="R68" s="72"/>
      <c r="S68" s="48"/>
      <c r="T68" s="48" t="s">
        <v>145</v>
      </c>
      <c r="U68" s="48"/>
      <c r="V68" s="48"/>
    </row>
    <row r="69" spans="1:24" hidden="1" x14ac:dyDescent="0.25">
      <c r="A69" s="152">
        <f t="shared" ref="A69:A78" si="7">+A68+1</f>
        <v>63</v>
      </c>
      <c r="B69" s="46" t="s">
        <v>346</v>
      </c>
      <c r="C69" s="46" t="str">
        <f>+IF(EstadoSolicitudes[[#This Row],[Aprobado OR]]="Aprobado",EstadoSolicitudes[[#This Row],[Aprobado OR]],
IF(EstadoSolicitudes[[#This Row],[Aprobado OR]]="Cancelado",EstadoSolicitudes[[#This Row],[Aprobado OR]],
IF(EstadoSolicitudes[[#This Row],[Cargue estudio al OR]]&gt;1,"Verificación Técnica",
IF(EstadoSolicitudes[[#This Row],[Fecha solicitud estudio]]&gt;1,"Estudio de conexión",
IF(EstadoSolicitudes[[#This Row],[Insumos revisados]]="No",IF(EstadoSolicitudes[[#This Row],[Fecha entrega insumos OR]]&gt;1,"Evolti","Espera de insumos"),
"Evolti")))))</f>
        <v>Evolti</v>
      </c>
      <c r="D69" s="46" t="s">
        <v>161</v>
      </c>
      <c r="E69" s="152" t="s">
        <v>344</v>
      </c>
      <c r="F69" s="152" t="s">
        <v>345</v>
      </c>
      <c r="G69" s="46" t="s">
        <v>227</v>
      </c>
      <c r="H69" s="46">
        <v>901432582</v>
      </c>
      <c r="I69" s="78" t="s">
        <v>232</v>
      </c>
      <c r="J69" s="48">
        <v>45636</v>
      </c>
      <c r="K69" s="46">
        <v>61484385</v>
      </c>
      <c r="L69" s="50"/>
      <c r="M69" s="48">
        <v>45664</v>
      </c>
      <c r="N69" s="75" t="s">
        <v>229</v>
      </c>
      <c r="R69" s="72"/>
      <c r="S69" s="48"/>
      <c r="T69" s="48" t="s">
        <v>145</v>
      </c>
      <c r="U69" s="48"/>
      <c r="V69" s="48"/>
    </row>
    <row r="70" spans="1:24" hidden="1" x14ac:dyDescent="0.25">
      <c r="A70" s="152">
        <f t="shared" si="7"/>
        <v>64</v>
      </c>
      <c r="B70" s="46" t="s">
        <v>308</v>
      </c>
      <c r="C70" s="46" t="s">
        <v>148</v>
      </c>
      <c r="D70" s="46" t="s">
        <v>151</v>
      </c>
      <c r="E70" s="152" t="s">
        <v>262</v>
      </c>
      <c r="F70" s="152" t="s">
        <v>263</v>
      </c>
      <c r="G70" s="46" t="s">
        <v>227</v>
      </c>
      <c r="H70" s="46">
        <v>901432582</v>
      </c>
      <c r="I70" s="78" t="s">
        <v>232</v>
      </c>
      <c r="J70" s="48">
        <v>45636</v>
      </c>
      <c r="K70" s="49">
        <v>9712463</v>
      </c>
      <c r="L70" s="50"/>
      <c r="M70" s="48">
        <v>45643</v>
      </c>
      <c r="N70" s="75" t="s">
        <v>229</v>
      </c>
      <c r="R70" s="72"/>
      <c r="S70" s="48"/>
      <c r="T70" s="48" t="s">
        <v>145</v>
      </c>
      <c r="U70" s="48"/>
      <c r="V70" s="48"/>
    </row>
    <row r="71" spans="1:24" hidden="1" x14ac:dyDescent="0.25">
      <c r="A71" s="152">
        <f t="shared" si="7"/>
        <v>65</v>
      </c>
      <c r="B71" s="46" t="s">
        <v>347</v>
      </c>
      <c r="C71" s="46" t="str">
        <f>+IF(EstadoSolicitudes[[#This Row],[Aprobado OR]]="Aprobado",EstadoSolicitudes[[#This Row],[Aprobado OR]],
IF(EstadoSolicitudes[[#This Row],[Aprobado OR]]="Cancelado",EstadoSolicitudes[[#This Row],[Aprobado OR]],
IF(EstadoSolicitudes[[#This Row],[Cargue estudio al OR]]&gt;1,"Verificación Técnica",
IF(EstadoSolicitudes[[#This Row],[Fecha solicitud estudio]]&gt;1,"Estudio de conexión",
IF(EstadoSolicitudes[[#This Row],[Insumos revisados]]="No",IF(EstadoSolicitudes[[#This Row],[Fecha entrega insumos OR]]&gt;1,"Evolti","Espera de insumos"),
"Evolti")))))</f>
        <v>Espera de insumos</v>
      </c>
      <c r="D71" s="46" t="s">
        <v>153</v>
      </c>
      <c r="G71" s="46" t="s">
        <v>227</v>
      </c>
      <c r="H71" s="46">
        <v>901432582</v>
      </c>
      <c r="I71" s="78" t="s">
        <v>232</v>
      </c>
      <c r="J71" s="48">
        <v>45638</v>
      </c>
      <c r="K71" s="49">
        <v>3241</v>
      </c>
      <c r="L71" s="50" t="s">
        <v>268</v>
      </c>
      <c r="N71" s="75" t="s">
        <v>229</v>
      </c>
      <c r="R71" s="72"/>
      <c r="S71" s="48"/>
      <c r="T71" s="48" t="s">
        <v>145</v>
      </c>
      <c r="U71" s="48"/>
      <c r="V71" s="48"/>
    </row>
    <row r="72" spans="1:24" hidden="1" x14ac:dyDescent="0.25">
      <c r="A72" s="152">
        <f t="shared" si="7"/>
        <v>66</v>
      </c>
      <c r="B72" s="129" t="s">
        <v>348</v>
      </c>
      <c r="C72" s="46" t="str">
        <f>+IF(EstadoSolicitudes[[#This Row],[Aprobado OR]]="Aprobado",EstadoSolicitudes[[#This Row],[Aprobado OR]],
IF(EstadoSolicitudes[[#This Row],[Aprobado OR]]="Cancelado",EstadoSolicitudes[[#This Row],[Aprobado OR]],
IF(EstadoSolicitudes[[#This Row],[Cargue estudio al OR]]&gt;1,"Verificación Técnica",
IF(EstadoSolicitudes[[#This Row],[Fecha solicitud estudio]]&gt;1,"Estudio de conexión",
IF(EstadoSolicitudes[[#This Row],[Insumos revisados]]="No",IF(EstadoSolicitudes[[#This Row],[Fecha entrega insumos OR]]&gt;1,"Evolti","Espera de insumos"),
"Evolti")))))</f>
        <v>Estudio de conexión</v>
      </c>
      <c r="D72" s="46" t="s">
        <v>151</v>
      </c>
      <c r="G72" s="46" t="s">
        <v>303</v>
      </c>
      <c r="H72" s="46">
        <v>9015616978</v>
      </c>
      <c r="I72" s="78" t="s">
        <v>232</v>
      </c>
      <c r="J72" s="48">
        <v>45638</v>
      </c>
      <c r="K72" s="46">
        <v>9739209</v>
      </c>
      <c r="L72" s="50"/>
      <c r="M72" s="48">
        <v>45643</v>
      </c>
      <c r="N72" s="75" t="s">
        <v>210</v>
      </c>
      <c r="O72" s="48">
        <v>45670</v>
      </c>
      <c r="P72" s="48" t="s">
        <v>166</v>
      </c>
      <c r="Q72" s="48">
        <v>45672</v>
      </c>
      <c r="R72" s="72" t="s">
        <v>229</v>
      </c>
      <c r="S72" s="48"/>
      <c r="T72" s="48" t="s">
        <v>145</v>
      </c>
      <c r="U72" s="48"/>
      <c r="V72" s="48">
        <f>+EstadoSolicitudes[[#This Row],[Fecha respuesta final OR]]+180+90</f>
        <v>270</v>
      </c>
    </row>
    <row r="73" spans="1:24" ht="63" hidden="1" x14ac:dyDescent="0.25">
      <c r="A73" s="152">
        <f t="shared" si="7"/>
        <v>67</v>
      </c>
      <c r="B73" s="129" t="s">
        <v>349</v>
      </c>
      <c r="C73" s="46" t="str">
        <f>+IF(EstadoSolicitudes[[#This Row],[Aprobado OR]]="Aprobado",EstadoSolicitudes[[#This Row],[Aprobado OR]],
IF(EstadoSolicitudes[[#This Row],[Aprobado OR]]="Cancelado",EstadoSolicitudes[[#This Row],[Aprobado OR]],
IF(EstadoSolicitudes[[#This Row],[Cargue estudio al OR]]&gt;1,"Verificación Técnica",
IF(EstadoSolicitudes[[#This Row],[Fecha solicitud estudio]]&gt;1,"Estudio de conexión",
IF(EstadoSolicitudes[[#This Row],[Insumos revisados]]="No",IF(EstadoSolicitudes[[#This Row],[Fecha entrega insumos OR]]&gt;1,"Evolti","Espera de insumos"),
"Evolti")))))</f>
        <v>Estudio de conexión</v>
      </c>
      <c r="D73" s="46" t="s">
        <v>151</v>
      </c>
      <c r="E73" s="152" t="s">
        <v>324</v>
      </c>
      <c r="F73" s="152" t="s">
        <v>327</v>
      </c>
      <c r="G73" s="46" t="s">
        <v>215</v>
      </c>
      <c r="H73" s="46">
        <v>901683843</v>
      </c>
      <c r="I73" s="78" t="s">
        <v>232</v>
      </c>
      <c r="J73" s="48">
        <v>45638</v>
      </c>
      <c r="K73" s="46">
        <v>9742687</v>
      </c>
      <c r="L73" s="50"/>
      <c r="M73" s="48">
        <v>45644</v>
      </c>
      <c r="N73" s="75" t="s">
        <v>210</v>
      </c>
      <c r="O73" s="48">
        <v>45719</v>
      </c>
      <c r="P73" s="48" t="s">
        <v>166</v>
      </c>
      <c r="Q73" s="48">
        <v>45722</v>
      </c>
      <c r="R73" s="73" t="s">
        <v>350</v>
      </c>
      <c r="S73" s="48"/>
      <c r="T73" s="48" t="s">
        <v>145</v>
      </c>
      <c r="U73" s="48"/>
      <c r="V73" s="48"/>
      <c r="W73" s="48" t="s">
        <v>351</v>
      </c>
    </row>
    <row r="74" spans="1:24" hidden="1" x14ac:dyDescent="0.25">
      <c r="A74" s="152">
        <f>+A73+1</f>
        <v>68</v>
      </c>
      <c r="B74" s="46" t="s">
        <v>352</v>
      </c>
      <c r="C74" s="46" t="str">
        <f>+IF(EstadoSolicitudes[[#This Row],[Aprobado OR]]="Aprobado",EstadoSolicitudes[[#This Row],[Aprobado OR]],
IF(EstadoSolicitudes[[#This Row],[Aprobado OR]]="Cancelado",EstadoSolicitudes[[#This Row],[Aprobado OR]],
IF(EstadoSolicitudes[[#This Row],[Cargue estudio al OR]]&gt;1,"Verificación Técnica",
IF(EstadoSolicitudes[[#This Row],[Fecha solicitud estudio]]&gt;1,"Estudio de conexión",
IF(EstadoSolicitudes[[#This Row],[Insumos revisados]]="No",IF(EstadoSolicitudes[[#This Row],[Fecha entrega insumos OR]]&gt;1,"Evolti","Espera de insumos"),
"Evolti")))))</f>
        <v>Evolti</v>
      </c>
      <c r="D74" s="46" t="s">
        <v>151</v>
      </c>
      <c r="E74" s="152" t="s">
        <v>324</v>
      </c>
      <c r="F74" s="152" t="s">
        <v>325</v>
      </c>
      <c r="G74" s="46" t="s">
        <v>215</v>
      </c>
      <c r="H74" s="46">
        <v>901683843</v>
      </c>
      <c r="I74" s="78" t="s">
        <v>232</v>
      </c>
      <c r="J74" s="48">
        <v>45638</v>
      </c>
      <c r="K74" s="49">
        <v>9744108</v>
      </c>
      <c r="L74" s="50"/>
      <c r="M74" s="48">
        <v>45645</v>
      </c>
      <c r="N74" s="75" t="s">
        <v>229</v>
      </c>
      <c r="R74" s="72"/>
      <c r="S74" s="48"/>
      <c r="T74" s="48" t="s">
        <v>145</v>
      </c>
      <c r="U74" s="48"/>
      <c r="V74" s="48"/>
      <c r="W74" s="48" t="s">
        <v>351</v>
      </c>
    </row>
    <row r="75" spans="1:24" hidden="1" x14ac:dyDescent="0.25">
      <c r="A75" s="152">
        <f t="shared" si="7"/>
        <v>69</v>
      </c>
      <c r="B75" s="46" t="s">
        <v>353</v>
      </c>
      <c r="C75" s="46" t="s">
        <v>148</v>
      </c>
      <c r="D75" s="46" t="s">
        <v>156</v>
      </c>
      <c r="G75" s="46" t="s">
        <v>227</v>
      </c>
      <c r="H75" s="46">
        <v>901432582</v>
      </c>
      <c r="I75" s="78" t="s">
        <v>232</v>
      </c>
      <c r="J75" s="48">
        <v>45639</v>
      </c>
      <c r="K75" s="49"/>
      <c r="L75" s="50"/>
      <c r="M75" s="48">
        <v>45645</v>
      </c>
      <c r="N75" s="75" t="s">
        <v>229</v>
      </c>
      <c r="R75" s="72"/>
      <c r="S75" s="48"/>
      <c r="T75" s="48" t="s">
        <v>145</v>
      </c>
      <c r="U75" s="48"/>
      <c r="V75" s="48"/>
      <c r="W75" s="48" t="s">
        <v>286</v>
      </c>
    </row>
    <row r="76" spans="1:24" hidden="1" x14ac:dyDescent="0.25">
      <c r="A76" s="152">
        <f t="shared" si="7"/>
        <v>70</v>
      </c>
      <c r="B76" s="46" t="s">
        <v>354</v>
      </c>
      <c r="C76" s="46" t="str">
        <f>+IF(EstadoSolicitudes[[#This Row],[Aprobado OR]]="Aprobado",EstadoSolicitudes[[#This Row],[Aprobado OR]],
IF(EstadoSolicitudes[[#This Row],[Aprobado OR]]="Cancelado",EstadoSolicitudes[[#This Row],[Aprobado OR]],
IF(EstadoSolicitudes[[#This Row],[Cargue estudio al OR]]&gt;1,"Verificación Técnica",
IF(EstadoSolicitudes[[#This Row],[Fecha solicitud estudio]]&gt;1,"Estudio de conexión",
IF(EstadoSolicitudes[[#This Row],[Insumos revisados]]="No",IF(EstadoSolicitudes[[#This Row],[Fecha entrega insumos OR]]&gt;1,"Evolti","Espera de insumos"),
"Evolti")))))</f>
        <v>Evolti</v>
      </c>
      <c r="D76" s="46" t="s">
        <v>154</v>
      </c>
      <c r="E76" s="152" t="s">
        <v>355</v>
      </c>
      <c r="F76" s="233" t="s">
        <v>356</v>
      </c>
      <c r="G76" s="46" t="s">
        <v>227</v>
      </c>
      <c r="H76" s="46">
        <v>901432582</v>
      </c>
      <c r="I76" s="78" t="s">
        <v>232</v>
      </c>
      <c r="J76" s="48">
        <v>45644</v>
      </c>
      <c r="K76" s="49">
        <v>22452</v>
      </c>
      <c r="L76" s="50"/>
      <c r="M76" s="48">
        <v>45700</v>
      </c>
      <c r="N76" s="75" t="s">
        <v>229</v>
      </c>
      <c r="R76" s="72"/>
      <c r="S76" s="48"/>
      <c r="T76" s="48" t="s">
        <v>145</v>
      </c>
      <c r="U76" s="48"/>
      <c r="V76" s="48"/>
    </row>
    <row r="77" spans="1:24" hidden="1" x14ac:dyDescent="0.25">
      <c r="A77" s="152">
        <f t="shared" si="7"/>
        <v>71</v>
      </c>
      <c r="B77" s="46" t="s">
        <v>357</v>
      </c>
      <c r="C77" s="46" t="str">
        <f>+IF(EstadoSolicitudes[[#This Row],[Aprobado OR]]="Aprobado",EstadoSolicitudes[[#This Row],[Aprobado OR]],
IF(EstadoSolicitudes[[#This Row],[Aprobado OR]]="Cancelado",EstadoSolicitudes[[#This Row],[Aprobado OR]],
IF(EstadoSolicitudes[[#This Row],[Cargue estudio al OR]]&gt;1,"Verificación Técnica",
IF(EstadoSolicitudes[[#This Row],[Fecha solicitud estudio]]&gt;1,"Estudio de conexión",
IF(EstadoSolicitudes[[#This Row],[Insumos revisados]]="No",IF(EstadoSolicitudes[[#This Row],[Fecha entrega insumos OR]]&gt;1,"Evolti","Espera de insumos"),
"Evolti")))))</f>
        <v>Evolti</v>
      </c>
      <c r="D77" s="46" t="s">
        <v>154</v>
      </c>
      <c r="E77" s="152" t="s">
        <v>318</v>
      </c>
      <c r="F77" s="152" t="s">
        <v>319</v>
      </c>
      <c r="G77" s="46" t="s">
        <v>227</v>
      </c>
      <c r="H77" s="46">
        <v>901432582</v>
      </c>
      <c r="I77" s="78" t="s">
        <v>232</v>
      </c>
      <c r="J77" s="48">
        <v>45645</v>
      </c>
      <c r="K77" s="49">
        <v>22456</v>
      </c>
      <c r="L77" s="50"/>
      <c r="M77" s="48">
        <v>45700</v>
      </c>
      <c r="N77" s="75" t="s">
        <v>229</v>
      </c>
      <c r="R77" s="72"/>
      <c r="S77" s="48"/>
      <c r="T77" s="48" t="s">
        <v>145</v>
      </c>
      <c r="U77" s="48"/>
      <c r="V77" s="48"/>
    </row>
    <row r="78" spans="1:24" hidden="1" x14ac:dyDescent="0.25">
      <c r="A78" s="152">
        <f t="shared" si="7"/>
        <v>72</v>
      </c>
      <c r="B78" s="46" t="s">
        <v>358</v>
      </c>
      <c r="C78" s="46" t="s">
        <v>148</v>
      </c>
      <c r="D78" s="46" t="s">
        <v>359</v>
      </c>
      <c r="E78" s="152" t="s">
        <v>360</v>
      </c>
      <c r="F78" s="152" t="s">
        <v>361</v>
      </c>
      <c r="G78" s="46" t="s">
        <v>227</v>
      </c>
      <c r="H78" s="46">
        <v>901432582</v>
      </c>
      <c r="I78" s="78" t="s">
        <v>232</v>
      </c>
      <c r="J78" s="48">
        <v>45666</v>
      </c>
      <c r="K78" s="49">
        <v>6753</v>
      </c>
      <c r="L78" s="50"/>
      <c r="M78" s="48">
        <v>45674</v>
      </c>
      <c r="N78" s="75" t="s">
        <v>229</v>
      </c>
      <c r="R78" s="72"/>
      <c r="S78" s="48"/>
      <c r="T78" s="48" t="s">
        <v>145</v>
      </c>
      <c r="U78" s="48"/>
      <c r="V78" s="48"/>
    </row>
    <row r="79" spans="1:24" hidden="1" x14ac:dyDescent="0.25">
      <c r="A79" s="152">
        <f>+A78+1</f>
        <v>73</v>
      </c>
      <c r="B79" s="46" t="s">
        <v>362</v>
      </c>
      <c r="C79" s="46" t="s">
        <v>148</v>
      </c>
      <c r="D79" s="46" t="s">
        <v>153</v>
      </c>
      <c r="G79" s="46" t="s">
        <v>227</v>
      </c>
      <c r="H79" s="46">
        <v>901432582</v>
      </c>
      <c r="I79" s="56" t="s">
        <v>267</v>
      </c>
      <c r="J79" s="48">
        <v>45673</v>
      </c>
      <c r="K79" s="49">
        <v>3421</v>
      </c>
      <c r="L79" s="50" t="s">
        <v>268</v>
      </c>
      <c r="N79" s="75" t="s">
        <v>229</v>
      </c>
      <c r="R79" s="72"/>
      <c r="S79" s="48"/>
      <c r="T79" s="48" t="s">
        <v>145</v>
      </c>
      <c r="U79" s="48"/>
      <c r="V79" s="48"/>
    </row>
    <row r="80" spans="1:24" hidden="1" x14ac:dyDescent="0.25">
      <c r="A80" s="152">
        <f>+A79+1</f>
        <v>74</v>
      </c>
      <c r="B80" s="46" t="s">
        <v>363</v>
      </c>
      <c r="C80" s="46" t="str">
        <f>+IF(EstadoSolicitudes[[#This Row],[Aprobado OR]]="Aprobado",EstadoSolicitudes[[#This Row],[Aprobado OR]],
IF(EstadoSolicitudes[[#This Row],[Aprobado OR]]="Cancelado",EstadoSolicitudes[[#This Row],[Aprobado OR]],
IF(EstadoSolicitudes[[#This Row],[Cargue estudio al OR]]&gt;1,"Verificación Técnica",
IF(EstadoSolicitudes[[#This Row],[Fecha solicitud estudio]]&gt;1,"Estudio de conexión",
IF(EstadoSolicitudes[[#This Row],[Insumos revisados]]="No",IF(EstadoSolicitudes[[#This Row],[Fecha entrega insumos OR]]&gt;1,"Evolti","Espera de insumos"),
"Evolti")))))</f>
        <v>Espera de insumos</v>
      </c>
      <c r="D80" s="46" t="s">
        <v>154</v>
      </c>
      <c r="E80" s="152" t="s">
        <v>334</v>
      </c>
      <c r="F80" s="233" t="s">
        <v>364</v>
      </c>
      <c r="G80" s="46" t="s">
        <v>227</v>
      </c>
      <c r="H80" s="46">
        <v>901432582</v>
      </c>
      <c r="I80" s="56" t="s">
        <v>267</v>
      </c>
      <c r="J80" s="48">
        <v>45679</v>
      </c>
      <c r="K80" s="49">
        <v>22686</v>
      </c>
      <c r="L80" s="50"/>
      <c r="N80" s="75" t="s">
        <v>229</v>
      </c>
      <c r="R80" s="72"/>
      <c r="S80" s="48"/>
      <c r="T80" s="48" t="s">
        <v>145</v>
      </c>
      <c r="U80" s="48"/>
      <c r="V80" s="48"/>
    </row>
    <row r="81" spans="1:23" hidden="1" x14ac:dyDescent="0.25">
      <c r="A81" s="152">
        <f>+A80+1</f>
        <v>75</v>
      </c>
      <c r="B81" s="46" t="s">
        <v>365</v>
      </c>
      <c r="C81" s="46" t="str">
        <f>+IF(EstadoSolicitudes[[#This Row],[Aprobado OR]]="Aprobado",EstadoSolicitudes[[#This Row],[Aprobado OR]],
IF(EstadoSolicitudes[[#This Row],[Aprobado OR]]="Cancelado",EstadoSolicitudes[[#This Row],[Aprobado OR]],
IF(EstadoSolicitudes[[#This Row],[Cargue estudio al OR]]&gt;1,"Verificación Técnica",
IF(EstadoSolicitudes[[#This Row],[Fecha solicitud estudio]]&gt;1,"Estudio de conexión",
IF(EstadoSolicitudes[[#This Row],[Insumos revisados]]="No",IF(EstadoSolicitudes[[#This Row],[Fecha entrega insumos OR]]&gt;1,"Evolti","Espera de insumos"),
"Evolti")))))</f>
        <v>Espera de insumos</v>
      </c>
      <c r="D81" s="46" t="s">
        <v>154</v>
      </c>
      <c r="E81" s="152" t="s">
        <v>355</v>
      </c>
      <c r="F81" s="152" t="s">
        <v>366</v>
      </c>
      <c r="G81" s="46" t="s">
        <v>227</v>
      </c>
      <c r="H81" s="46">
        <v>901432582</v>
      </c>
      <c r="I81" s="56" t="s">
        <v>267</v>
      </c>
      <c r="J81" s="48">
        <v>45698</v>
      </c>
      <c r="K81" s="49">
        <v>22876</v>
      </c>
      <c r="L81" s="50"/>
      <c r="N81" s="75" t="s">
        <v>229</v>
      </c>
      <c r="R81" s="72"/>
      <c r="S81" s="48"/>
      <c r="T81" s="48" t="s">
        <v>145</v>
      </c>
      <c r="U81" s="48"/>
      <c r="V81" s="48"/>
    </row>
    <row r="82" spans="1:23" hidden="1" x14ac:dyDescent="0.25">
      <c r="A82" s="152">
        <f t="shared" ref="A82:A86" si="8">+A81+1</f>
        <v>76</v>
      </c>
      <c r="B82" s="46" t="s">
        <v>367</v>
      </c>
      <c r="C82" s="46" t="s">
        <v>305</v>
      </c>
      <c r="D82" s="46" t="s">
        <v>156</v>
      </c>
      <c r="E82" s="152" t="s">
        <v>368</v>
      </c>
      <c r="F82" s="152" t="s">
        <v>369</v>
      </c>
      <c r="G82" s="46" t="s">
        <v>227</v>
      </c>
      <c r="H82" s="46">
        <v>901432582</v>
      </c>
      <c r="I82" s="78" t="s">
        <v>232</v>
      </c>
      <c r="J82" s="48">
        <v>45699</v>
      </c>
      <c r="K82" s="49"/>
      <c r="L82" s="50"/>
      <c r="M82" s="48">
        <v>45708</v>
      </c>
      <c r="N82" s="75" t="s">
        <v>210</v>
      </c>
      <c r="O82" s="48">
        <v>45719</v>
      </c>
      <c r="P82" s="48" t="s">
        <v>166</v>
      </c>
      <c r="R82" s="72"/>
      <c r="S82" s="48"/>
      <c r="T82" s="48" t="s">
        <v>145</v>
      </c>
      <c r="U82" s="48"/>
      <c r="V82" s="48"/>
      <c r="W82" s="48" t="s">
        <v>286</v>
      </c>
    </row>
    <row r="83" spans="1:23" hidden="1" x14ac:dyDescent="0.25">
      <c r="A83" s="152">
        <f t="shared" si="8"/>
        <v>77</v>
      </c>
      <c r="B83" s="46" t="s">
        <v>370</v>
      </c>
      <c r="C83" s="46" t="str">
        <f>+IF(EstadoSolicitudes[[#This Row],[Aprobado OR]]="Aprobado",EstadoSolicitudes[[#This Row],[Aprobado OR]],
IF(EstadoSolicitudes[[#This Row],[Aprobado OR]]="Cancelado",EstadoSolicitudes[[#This Row],[Aprobado OR]],
IF(EstadoSolicitudes[[#This Row],[Cargue estudio al OR]]&gt;1,"Verificación Técnica",
IF(EstadoSolicitudes[[#This Row],[Fecha solicitud estudio]]&gt;1,"Estudio de conexión",
IF(EstadoSolicitudes[[#This Row],[Insumos revisados]]="No",IF(EstadoSolicitudes[[#This Row],[Fecha entrega insumos OR]]&gt;1,"Evolti","Espera de insumos"),
"Evolti")))))</f>
        <v>Verificación Técnica</v>
      </c>
      <c r="D83" s="46" t="s">
        <v>153</v>
      </c>
      <c r="E83" s="152" t="s">
        <v>371</v>
      </c>
      <c r="F83" s="152" t="s">
        <v>372</v>
      </c>
      <c r="G83" s="46" t="s">
        <v>227</v>
      </c>
      <c r="H83" s="46">
        <v>901432582</v>
      </c>
      <c r="I83" s="78" t="s">
        <v>232</v>
      </c>
      <c r="J83" s="48">
        <v>45699</v>
      </c>
      <c r="K83" s="49">
        <v>3661</v>
      </c>
      <c r="L83" s="50" t="s">
        <v>241</v>
      </c>
      <c r="M83" s="48">
        <v>45719</v>
      </c>
      <c r="N83" s="75" t="s">
        <v>210</v>
      </c>
      <c r="O83" s="48">
        <v>45720</v>
      </c>
      <c r="P83" s="48" t="s">
        <v>166</v>
      </c>
      <c r="Q83" s="48">
        <v>45726</v>
      </c>
      <c r="R83" s="72"/>
      <c r="S83" s="48">
        <v>45777</v>
      </c>
      <c r="T83" s="48" t="s">
        <v>145</v>
      </c>
      <c r="U83" s="48"/>
      <c r="V83" s="48"/>
    </row>
    <row r="84" spans="1:23" hidden="1" x14ac:dyDescent="0.25">
      <c r="A84" s="152">
        <f>+A83+1</f>
        <v>78</v>
      </c>
      <c r="B84" s="46" t="s">
        <v>373</v>
      </c>
      <c r="C84" s="46" t="s">
        <v>305</v>
      </c>
      <c r="D84" s="46" t="s">
        <v>153</v>
      </c>
      <c r="E84" s="152" t="s">
        <v>371</v>
      </c>
      <c r="F84" s="152" t="s">
        <v>372</v>
      </c>
      <c r="G84" s="46" t="s">
        <v>227</v>
      </c>
      <c r="H84" s="46">
        <v>901432582</v>
      </c>
      <c r="I84" s="160" t="s">
        <v>267</v>
      </c>
      <c r="J84" s="48">
        <v>45699</v>
      </c>
      <c r="K84" s="49">
        <v>3662</v>
      </c>
      <c r="L84" s="50" t="s">
        <v>268</v>
      </c>
      <c r="M84" s="48">
        <v>45726</v>
      </c>
      <c r="N84" s="75" t="s">
        <v>210</v>
      </c>
      <c r="O84" s="48">
        <v>45728</v>
      </c>
      <c r="P84" s="48" t="s">
        <v>166</v>
      </c>
      <c r="Q84" s="48">
        <v>45730</v>
      </c>
      <c r="R84" s="72"/>
      <c r="S84" s="48">
        <v>45783</v>
      </c>
      <c r="T84" s="48" t="s">
        <v>145</v>
      </c>
      <c r="U84" s="48"/>
      <c r="V84" s="48"/>
    </row>
    <row r="85" spans="1:23" ht="31.5" hidden="1" x14ac:dyDescent="0.25">
      <c r="A85" s="152">
        <f t="shared" si="8"/>
        <v>79</v>
      </c>
      <c r="B85" s="154" t="s">
        <v>374</v>
      </c>
      <c r="C85" s="46" t="str">
        <f>+IF(EstadoSolicitudes[[#This Row],[Aprobado OR]]="Aprobado",EstadoSolicitudes[[#This Row],[Aprobado OR]],
IF(EstadoSolicitudes[[#This Row],[Aprobado OR]]="Cancelado",EstadoSolicitudes[[#This Row],[Aprobado OR]],
IF(EstadoSolicitudes[[#This Row],[Cargue estudio al OR]]&gt;1,"Verificación Técnica",
IF(EstadoSolicitudes[[#This Row],[Fecha solicitud estudio]]&gt;1,"Estudio de conexión",
IF(EstadoSolicitudes[[#This Row],[Insumos revisados]]="No",IF(EstadoSolicitudes[[#This Row],[Fecha entrega insumos OR]]&gt;1,"Evolti","Espera de insumos"),
"Evolti")))))</f>
        <v>Espera de insumos</v>
      </c>
      <c r="D85" s="46" t="s">
        <v>155</v>
      </c>
      <c r="E85" s="152" t="s">
        <v>375</v>
      </c>
      <c r="F85" s="233" t="s">
        <v>376</v>
      </c>
      <c r="G85" s="46" t="s">
        <v>227</v>
      </c>
      <c r="H85" s="46">
        <v>901432582</v>
      </c>
      <c r="I85" s="78" t="s">
        <v>232</v>
      </c>
      <c r="J85" s="48">
        <v>45701</v>
      </c>
      <c r="K85" s="49">
        <v>34185</v>
      </c>
      <c r="L85" s="50"/>
      <c r="N85" s="75" t="s">
        <v>229</v>
      </c>
      <c r="R85" s="72"/>
      <c r="S85" s="48"/>
      <c r="T85" s="48" t="s">
        <v>145</v>
      </c>
      <c r="U85" s="48"/>
      <c r="V85" s="48"/>
    </row>
    <row r="86" spans="1:23" hidden="1" x14ac:dyDescent="0.25">
      <c r="A86" s="152">
        <f t="shared" si="8"/>
        <v>80</v>
      </c>
      <c r="B86" s="46" t="s">
        <v>377</v>
      </c>
      <c r="C86" s="46" t="s">
        <v>148</v>
      </c>
      <c r="D86" s="46" t="s">
        <v>151</v>
      </c>
      <c r="E86" s="152" t="s">
        <v>262</v>
      </c>
      <c r="F86" s="152" t="s">
        <v>263</v>
      </c>
      <c r="G86" s="46" t="s">
        <v>227</v>
      </c>
      <c r="H86" s="46">
        <v>901432582</v>
      </c>
      <c r="I86" s="78" t="s">
        <v>232</v>
      </c>
      <c r="J86" s="48">
        <v>45702</v>
      </c>
      <c r="K86" s="49"/>
      <c r="L86" s="50"/>
      <c r="N86" s="75" t="s">
        <v>229</v>
      </c>
      <c r="R86" s="72"/>
      <c r="S86" s="48"/>
      <c r="T86" s="48" t="s">
        <v>145</v>
      </c>
      <c r="U86" s="48"/>
      <c r="V86" s="48"/>
      <c r="W86" s="48" t="s">
        <v>286</v>
      </c>
    </row>
    <row r="87" spans="1:23" hidden="1" x14ac:dyDescent="0.25">
      <c r="A87" s="152">
        <f t="shared" ref="A87:A150" si="9">+A86+1</f>
        <v>81</v>
      </c>
      <c r="B87" s="46" t="s">
        <v>378</v>
      </c>
      <c r="C87" s="46" t="str">
        <f>+IF(EstadoSolicitudes[[#This Row],[Aprobado OR]]="Aprobado",EstadoSolicitudes[[#This Row],[Aprobado OR]],
IF(EstadoSolicitudes[[#This Row],[Aprobado OR]]="Cancelado",EstadoSolicitudes[[#This Row],[Aprobado OR]],
IF(EstadoSolicitudes[[#This Row],[Cargue estudio al OR]]&gt;1,"Verificación Técnica",
IF(EstadoSolicitudes[[#This Row],[Fecha solicitud estudio]]&gt;1,"Estudio de conexión",
IF(EstadoSolicitudes[[#This Row],[Insumos revisados]]="No",IF(EstadoSolicitudes[[#This Row],[Fecha entrega insumos OR]]&gt;1,"Evolti","Espera de insumos"),
"Evolti")))))</f>
        <v>Espera de insumos</v>
      </c>
      <c r="D87" s="46" t="s">
        <v>154</v>
      </c>
      <c r="E87" s="152" t="s">
        <v>355</v>
      </c>
      <c r="F87" s="152" t="s">
        <v>366</v>
      </c>
      <c r="G87" s="135" t="s">
        <v>227</v>
      </c>
      <c r="H87" s="135">
        <v>901432582</v>
      </c>
      <c r="I87" s="136" t="s">
        <v>232</v>
      </c>
      <c r="J87" s="137">
        <v>45705</v>
      </c>
      <c r="K87" s="49">
        <v>22930</v>
      </c>
      <c r="L87" s="50"/>
      <c r="N87" s="75" t="s">
        <v>229</v>
      </c>
      <c r="R87" s="72"/>
      <c r="S87" s="48"/>
      <c r="T87" s="48" t="s">
        <v>145</v>
      </c>
      <c r="U87" s="48"/>
      <c r="V87" s="48"/>
    </row>
    <row r="88" spans="1:23" hidden="1" x14ac:dyDescent="0.25">
      <c r="A88" s="152">
        <f t="shared" si="9"/>
        <v>82</v>
      </c>
      <c r="B88" s="46" t="s">
        <v>379</v>
      </c>
      <c r="C88" s="46" t="str">
        <f>+IF(EstadoSolicitudes[[#This Row],[Aprobado OR]]="Aprobado",EstadoSolicitudes[[#This Row],[Aprobado OR]],
IF(EstadoSolicitudes[[#This Row],[Aprobado OR]]="Cancelado",EstadoSolicitudes[[#This Row],[Aprobado OR]],
IF(EstadoSolicitudes[[#This Row],[Cargue estudio al OR]]&gt;1,"Verificación Técnica",
IF(EstadoSolicitudes[[#This Row],[Fecha solicitud estudio]]&gt;1,"Estudio de conexión",
IF(EstadoSolicitudes[[#This Row],[Insumos revisados]]="No",IF(EstadoSolicitudes[[#This Row],[Fecha entrega insumos OR]]&gt;1,"Evolti","Espera de insumos"),
"Evolti")))))</f>
        <v>Espera de insumos</v>
      </c>
      <c r="D88" s="46" t="s">
        <v>154</v>
      </c>
      <c r="E88" s="152" t="s">
        <v>355</v>
      </c>
      <c r="F88" s="152" t="s">
        <v>366</v>
      </c>
      <c r="G88" s="135" t="s">
        <v>227</v>
      </c>
      <c r="H88" s="135">
        <v>901432582</v>
      </c>
      <c r="I88" s="136" t="s">
        <v>232</v>
      </c>
      <c r="J88" s="137">
        <v>45705</v>
      </c>
      <c r="K88" s="49">
        <v>22933</v>
      </c>
      <c r="L88" s="50"/>
      <c r="N88" s="75" t="s">
        <v>229</v>
      </c>
      <c r="R88" s="72"/>
      <c r="S88" s="48"/>
      <c r="T88" s="48" t="s">
        <v>145</v>
      </c>
      <c r="U88" s="48"/>
      <c r="V88" s="48"/>
    </row>
    <row r="89" spans="1:23" hidden="1" x14ac:dyDescent="0.25">
      <c r="A89" s="152">
        <f t="shared" si="9"/>
        <v>83</v>
      </c>
      <c r="B89" s="46" t="s">
        <v>380</v>
      </c>
      <c r="C89" s="46" t="str">
        <f>+IF(EstadoSolicitudes[[#This Row],[Aprobado OR]]="Aprobado",EstadoSolicitudes[[#This Row],[Aprobado OR]],
IF(EstadoSolicitudes[[#This Row],[Aprobado OR]]="Cancelado",EstadoSolicitudes[[#This Row],[Aprobado OR]],
IF(EstadoSolicitudes[[#This Row],[Cargue estudio al OR]]&gt;1,"Verificación Técnica",
IF(EstadoSolicitudes[[#This Row],[Fecha solicitud estudio]]&gt;1,"Estudio de conexión",
IF(EstadoSolicitudes[[#This Row],[Insumos revisados]]="No",IF(EstadoSolicitudes[[#This Row],[Fecha entrega insumos OR]]&gt;1,"Evolti","Espera de insumos"),
"Evolti")))))</f>
        <v>Evolti</v>
      </c>
      <c r="D89" s="46" t="s">
        <v>156</v>
      </c>
      <c r="E89" s="152" t="s">
        <v>368</v>
      </c>
      <c r="G89" s="135" t="s">
        <v>227</v>
      </c>
      <c r="H89" s="135">
        <v>901432582</v>
      </c>
      <c r="I89" s="136" t="s">
        <v>232</v>
      </c>
      <c r="J89" s="137">
        <v>45705</v>
      </c>
      <c r="K89" s="49"/>
      <c r="L89" s="50"/>
      <c r="M89" s="48">
        <v>45713</v>
      </c>
      <c r="N89" s="75" t="s">
        <v>210</v>
      </c>
      <c r="R89" s="72"/>
      <c r="S89" s="48"/>
      <c r="T89" s="48" t="s">
        <v>145</v>
      </c>
      <c r="U89" s="48"/>
      <c r="V89" s="48"/>
      <c r="W89" s="48" t="s">
        <v>286</v>
      </c>
    </row>
    <row r="90" spans="1:23" hidden="1" x14ac:dyDescent="0.25">
      <c r="A90" s="152">
        <f t="shared" si="9"/>
        <v>84</v>
      </c>
      <c r="B90" s="46" t="s">
        <v>381</v>
      </c>
      <c r="C90" s="46" t="str">
        <f>+IF(EstadoSolicitudes[[#This Row],[Aprobado OR]]="Aprobado",EstadoSolicitudes[[#This Row],[Aprobado OR]],
IF(EstadoSolicitudes[[#This Row],[Aprobado OR]]="Cancelado",EstadoSolicitudes[[#This Row],[Aprobado OR]],
IF(EstadoSolicitudes[[#This Row],[Cargue estudio al OR]]&gt;1,"Verificación Técnica",
IF(EstadoSolicitudes[[#This Row],[Fecha solicitud estudio]]&gt;1,"Estudio de conexión",
IF(EstadoSolicitudes[[#This Row],[Insumos revisados]]="No",IF(EstadoSolicitudes[[#This Row],[Fecha entrega insumos OR]]&gt;1,"Evolti","Espera de insumos"),
"Evolti")))))</f>
        <v>Evolti</v>
      </c>
      <c r="D90" s="46" t="s">
        <v>161</v>
      </c>
      <c r="E90" s="152" t="s">
        <v>344</v>
      </c>
      <c r="F90" s="152" t="s">
        <v>345</v>
      </c>
      <c r="G90" s="46" t="s">
        <v>227</v>
      </c>
      <c r="H90" s="46">
        <v>901432582</v>
      </c>
      <c r="I90" s="78" t="s">
        <v>232</v>
      </c>
      <c r="J90" s="48">
        <v>45706</v>
      </c>
      <c r="K90" s="46">
        <v>62718039</v>
      </c>
      <c r="L90" s="50" t="s">
        <v>382</v>
      </c>
      <c r="M90" s="48">
        <v>45728</v>
      </c>
      <c r="N90" s="75" t="s">
        <v>210</v>
      </c>
      <c r="R90" s="72"/>
      <c r="S90" s="48"/>
      <c r="T90" s="48" t="s">
        <v>145</v>
      </c>
      <c r="U90" s="48"/>
      <c r="V90" s="48"/>
      <c r="W90" s="48" t="s">
        <v>383</v>
      </c>
    </row>
    <row r="91" spans="1:23" hidden="1" x14ac:dyDescent="0.25">
      <c r="A91" s="152">
        <f t="shared" si="9"/>
        <v>85</v>
      </c>
      <c r="B91" s="46" t="s">
        <v>384</v>
      </c>
      <c r="C91" s="46" t="str">
        <f>+IF(EstadoSolicitudes[[#This Row],[Aprobado OR]]="Aprobado",EstadoSolicitudes[[#This Row],[Aprobado OR]],
IF(EstadoSolicitudes[[#This Row],[Aprobado OR]]="Cancelado",EstadoSolicitudes[[#This Row],[Aprobado OR]],
IF(EstadoSolicitudes[[#This Row],[Cargue estudio al OR]]&gt;1,"Verificación Técnica",
IF(EstadoSolicitudes[[#This Row],[Fecha solicitud estudio]]&gt;1,"Estudio de conexión",
IF(EstadoSolicitudes[[#This Row],[Insumos revisados]]="No",IF(EstadoSolicitudes[[#This Row],[Fecha entrega insumos OR]]&gt;1,"Evolti","Espera de insumos"),
"Evolti")))))</f>
        <v>Evolti</v>
      </c>
      <c r="D91" s="46" t="s">
        <v>161</v>
      </c>
      <c r="E91" s="152" t="s">
        <v>344</v>
      </c>
      <c r="F91" s="152" t="s">
        <v>345</v>
      </c>
      <c r="G91" s="46" t="s">
        <v>227</v>
      </c>
      <c r="H91" s="46">
        <v>901432582</v>
      </c>
      <c r="I91" s="78" t="s">
        <v>232</v>
      </c>
      <c r="J91" s="48">
        <v>45706</v>
      </c>
      <c r="K91" s="46">
        <v>62718441</v>
      </c>
      <c r="L91" s="50" t="s">
        <v>385</v>
      </c>
      <c r="M91" s="48">
        <v>45728</v>
      </c>
      <c r="N91" s="75" t="s">
        <v>210</v>
      </c>
      <c r="R91" s="72"/>
      <c r="S91" s="48"/>
      <c r="T91" s="48" t="s">
        <v>145</v>
      </c>
      <c r="U91" s="48"/>
      <c r="V91" s="48"/>
      <c r="W91" s="48" t="s">
        <v>383</v>
      </c>
    </row>
    <row r="92" spans="1:23" hidden="1" x14ac:dyDescent="0.25">
      <c r="A92" s="152">
        <f t="shared" si="9"/>
        <v>86</v>
      </c>
      <c r="B92" s="46" t="s">
        <v>386</v>
      </c>
      <c r="C92" s="46" t="str">
        <f>+IF(EstadoSolicitudes[[#This Row],[Aprobado OR]]="Aprobado",EstadoSolicitudes[[#This Row],[Aprobado OR]],
IF(EstadoSolicitudes[[#This Row],[Aprobado OR]]="Cancelado",EstadoSolicitudes[[#This Row],[Aprobado OR]],
IF(EstadoSolicitudes[[#This Row],[Cargue estudio al OR]]&gt;1,"Verificación Técnica",
IF(EstadoSolicitudes[[#This Row],[Fecha solicitud estudio]]&gt;1,"Estudio de conexión",
IF(EstadoSolicitudes[[#This Row],[Insumos revisados]]="No",IF(EstadoSolicitudes[[#This Row],[Fecha entrega insumos OR]]&gt;1,"Evolti","Espera de insumos"),
"Evolti")))))</f>
        <v>Espera de insumos</v>
      </c>
      <c r="D92" s="46" t="s">
        <v>155</v>
      </c>
      <c r="E92" s="152" t="s">
        <v>330</v>
      </c>
      <c r="F92" s="152" t="s">
        <v>331</v>
      </c>
      <c r="G92" s="46" t="s">
        <v>227</v>
      </c>
      <c r="H92" s="46">
        <v>901432582</v>
      </c>
      <c r="I92" s="78" t="s">
        <v>232</v>
      </c>
      <c r="J92" s="48">
        <v>45707</v>
      </c>
      <c r="K92" s="49">
        <v>34355</v>
      </c>
      <c r="L92" s="50"/>
      <c r="M92" s="48"/>
      <c r="N92" s="75" t="s">
        <v>229</v>
      </c>
      <c r="R92" s="72"/>
      <c r="S92" s="48"/>
      <c r="T92" s="48" t="s">
        <v>147</v>
      </c>
      <c r="U92" s="48"/>
      <c r="V92" s="48"/>
    </row>
    <row r="93" spans="1:23" hidden="1" x14ac:dyDescent="0.25">
      <c r="A93" s="152">
        <f t="shared" si="9"/>
        <v>87</v>
      </c>
      <c r="B93" s="135" t="s">
        <v>387</v>
      </c>
      <c r="C93" s="46" t="str">
        <f>+IF(EstadoSolicitudes[[#This Row],[Aprobado OR]]="Aprobado",EstadoSolicitudes[[#This Row],[Aprobado OR]],
IF(EstadoSolicitudes[[#This Row],[Aprobado OR]]="Cancelado",EstadoSolicitudes[[#This Row],[Aprobado OR]],
IF(EstadoSolicitudes[[#This Row],[Cargue estudio al OR]]&gt;1,"Verificación Técnica",
IF(EstadoSolicitudes[[#This Row],[Fecha solicitud estudio]]&gt;1,"Estudio de conexión",
IF(EstadoSolicitudes[[#This Row],[Insumos revisados]]="No",IF(EstadoSolicitudes[[#This Row],[Fecha entrega insumos OR]]&gt;1,"Evolti","Espera de insumos"),
"Evolti")))))</f>
        <v>Espera de insumos</v>
      </c>
      <c r="D93" s="135" t="s">
        <v>155</v>
      </c>
      <c r="E93" s="152" t="s">
        <v>330</v>
      </c>
      <c r="F93" s="152" t="s">
        <v>331</v>
      </c>
      <c r="G93" s="135" t="s">
        <v>227</v>
      </c>
      <c r="H93" s="135">
        <v>901432582</v>
      </c>
      <c r="I93" s="136" t="s">
        <v>232</v>
      </c>
      <c r="J93" s="137">
        <v>45707</v>
      </c>
      <c r="N93" s="75" t="s">
        <v>229</v>
      </c>
      <c r="T93" s="48" t="s">
        <v>147</v>
      </c>
      <c r="U93" s="48"/>
      <c r="V93" s="48"/>
    </row>
    <row r="94" spans="1:23" hidden="1" x14ac:dyDescent="0.25">
      <c r="A94" s="152">
        <f t="shared" si="9"/>
        <v>88</v>
      </c>
      <c r="B94" s="135" t="s">
        <v>388</v>
      </c>
      <c r="C94" s="46" t="str">
        <f>+IF(EstadoSolicitudes[[#This Row],[Aprobado OR]]="Aprobado",EstadoSolicitudes[[#This Row],[Aprobado OR]],
IF(EstadoSolicitudes[[#This Row],[Aprobado OR]]="Cancelado",EstadoSolicitudes[[#This Row],[Aprobado OR]],
IF(EstadoSolicitudes[[#This Row],[Cargue estudio al OR]]&gt;1,"Verificación Técnica",
IF(EstadoSolicitudes[[#This Row],[Fecha solicitud estudio]]&gt;1,"Estudio de conexión",
IF(EstadoSolicitudes[[#This Row],[Insumos revisados]]="No",IF(EstadoSolicitudes[[#This Row],[Fecha entrega insumos OR]]&gt;1,"Evolti","Espera de insumos"),
"Evolti")))))</f>
        <v>Espera de insumos</v>
      </c>
      <c r="D94" s="135" t="s">
        <v>155</v>
      </c>
      <c r="E94" s="152" t="s">
        <v>330</v>
      </c>
      <c r="F94" s="152" t="s">
        <v>331</v>
      </c>
      <c r="G94" s="135" t="s">
        <v>227</v>
      </c>
      <c r="H94" s="135">
        <v>901432582</v>
      </c>
      <c r="I94" s="136" t="s">
        <v>232</v>
      </c>
      <c r="J94" s="137">
        <v>45707</v>
      </c>
      <c r="N94" s="75" t="s">
        <v>229</v>
      </c>
      <c r="T94" s="48" t="s">
        <v>147</v>
      </c>
      <c r="V94" s="48"/>
      <c r="W94" s="138" t="s">
        <v>286</v>
      </c>
    </row>
    <row r="95" spans="1:23" hidden="1" x14ac:dyDescent="0.25">
      <c r="A95" s="152">
        <f t="shared" si="9"/>
        <v>89</v>
      </c>
      <c r="B95" s="46" t="s">
        <v>389</v>
      </c>
      <c r="C95" s="46" t="str">
        <f>+IF(EstadoSolicitudes[[#This Row],[Aprobado OR]]="Aprobado",EstadoSolicitudes[[#This Row],[Aprobado OR]],
IF(EstadoSolicitudes[[#This Row],[Aprobado OR]]="Cancelado",EstadoSolicitudes[[#This Row],[Aprobado OR]],
IF(EstadoSolicitudes[[#This Row],[Cargue estudio al OR]]&gt;1,"Verificación Técnica",
IF(EstadoSolicitudes[[#This Row],[Fecha solicitud estudio]]&gt;1,"Estudio de conexión",
IF(EstadoSolicitudes[[#This Row],[Insumos revisados]]="No",IF(EstadoSolicitudes[[#This Row],[Fecha entrega insumos OR]]&gt;1,"Evolti","Espera de insumos"),
"Evolti")))))</f>
        <v>Espera de insumos</v>
      </c>
      <c r="D95" s="46" t="s">
        <v>154</v>
      </c>
      <c r="E95" s="152" t="s">
        <v>390</v>
      </c>
      <c r="F95" s="152" t="s">
        <v>341</v>
      </c>
      <c r="G95" s="46" t="s">
        <v>227</v>
      </c>
      <c r="H95" s="46">
        <v>901432582</v>
      </c>
      <c r="I95" s="78" t="s">
        <v>232</v>
      </c>
      <c r="J95" s="137">
        <v>45707</v>
      </c>
      <c r="K95" s="49">
        <v>22949</v>
      </c>
      <c r="L95" s="50"/>
      <c r="M95" s="48"/>
      <c r="N95" s="75" t="s">
        <v>229</v>
      </c>
      <c r="R95" s="72"/>
      <c r="S95" s="48"/>
      <c r="T95" s="48" t="s">
        <v>145</v>
      </c>
      <c r="U95" s="48"/>
      <c r="V95" s="48"/>
    </row>
    <row r="96" spans="1:23" hidden="1" x14ac:dyDescent="0.25">
      <c r="A96" s="152">
        <f t="shared" si="9"/>
        <v>90</v>
      </c>
      <c r="B96" s="46" t="s">
        <v>391</v>
      </c>
      <c r="C96" s="46" t="str">
        <f>+IF(EstadoSolicitudes[[#This Row],[Aprobado OR]]="Aprobado",EstadoSolicitudes[[#This Row],[Aprobado OR]],
IF(EstadoSolicitudes[[#This Row],[Aprobado OR]]="Cancelado",EstadoSolicitudes[[#This Row],[Aprobado OR]],
IF(EstadoSolicitudes[[#This Row],[Cargue estudio al OR]]&gt;1,"Verificación Técnica",
IF(EstadoSolicitudes[[#This Row],[Fecha solicitud estudio]]&gt;1,"Estudio de conexión",
IF(EstadoSolicitudes[[#This Row],[Insumos revisados]]="No",IF(EstadoSolicitudes[[#This Row],[Fecha entrega insumos OR]]&gt;1,"Evolti","Espera de insumos"),
"Evolti")))))</f>
        <v>Espera de insumos</v>
      </c>
      <c r="D96" s="46" t="s">
        <v>154</v>
      </c>
      <c r="E96" s="152" t="s">
        <v>390</v>
      </c>
      <c r="F96" s="152" t="s">
        <v>341</v>
      </c>
      <c r="G96" s="46" t="s">
        <v>227</v>
      </c>
      <c r="H96" s="46">
        <v>901432582</v>
      </c>
      <c r="I96" s="78" t="s">
        <v>232</v>
      </c>
      <c r="J96" s="137">
        <v>45707</v>
      </c>
      <c r="K96" s="49">
        <v>22950</v>
      </c>
      <c r="L96" s="50"/>
      <c r="M96" s="48"/>
      <c r="N96" s="75" t="s">
        <v>229</v>
      </c>
      <c r="R96" s="72"/>
      <c r="S96" s="48"/>
      <c r="T96" s="48" t="s">
        <v>145</v>
      </c>
      <c r="U96" s="48"/>
      <c r="V96" s="48"/>
    </row>
    <row r="97" spans="1:24" hidden="1" x14ac:dyDescent="0.25">
      <c r="A97" s="152">
        <f t="shared" si="9"/>
        <v>91</v>
      </c>
      <c r="B97" s="46" t="s">
        <v>392</v>
      </c>
      <c r="C97" s="46" t="str">
        <f>+IF(EstadoSolicitudes[[#This Row],[Aprobado OR]]="Aprobado",EstadoSolicitudes[[#This Row],[Aprobado OR]],
IF(EstadoSolicitudes[[#This Row],[Aprobado OR]]="Cancelado",EstadoSolicitudes[[#This Row],[Aprobado OR]],
IF(EstadoSolicitudes[[#This Row],[Cargue estudio al OR]]&gt;1,"Verificación Técnica",
IF(EstadoSolicitudes[[#This Row],[Fecha solicitud estudio]]&gt;1,"Estudio de conexión",
IF(EstadoSolicitudes[[#This Row],[Insumos revisados]]="No",IF(EstadoSolicitudes[[#This Row],[Fecha entrega insumos OR]]&gt;1,"Evolti","Espera de insumos"),
"Evolti")))))</f>
        <v>Evolti</v>
      </c>
      <c r="D97" s="46" t="s">
        <v>153</v>
      </c>
      <c r="G97" s="46" t="s">
        <v>227</v>
      </c>
      <c r="H97" s="46">
        <v>901432582</v>
      </c>
      <c r="I97" s="56" t="s">
        <v>232</v>
      </c>
      <c r="J97" s="137">
        <v>45708</v>
      </c>
      <c r="K97" s="49">
        <v>3701</v>
      </c>
      <c r="L97" s="50" t="s">
        <v>241</v>
      </c>
      <c r="M97" s="48">
        <v>45730</v>
      </c>
      <c r="N97" s="75" t="s">
        <v>229</v>
      </c>
      <c r="R97" s="72"/>
      <c r="S97" s="48"/>
      <c r="T97" s="48" t="s">
        <v>145</v>
      </c>
      <c r="U97" s="48"/>
      <c r="V97" s="48"/>
    </row>
    <row r="98" spans="1:24" hidden="1" x14ac:dyDescent="0.25">
      <c r="A98" s="152">
        <f t="shared" si="9"/>
        <v>92</v>
      </c>
      <c r="B98" s="46" t="s">
        <v>393</v>
      </c>
      <c r="C98" s="46" t="str">
        <f>+IF(EstadoSolicitudes[[#This Row],[Aprobado OR]]="Aprobado",EstadoSolicitudes[[#This Row],[Aprobado OR]],
IF(EstadoSolicitudes[[#This Row],[Aprobado OR]]="Cancelado",EstadoSolicitudes[[#This Row],[Aprobado OR]],
IF(EstadoSolicitudes[[#This Row],[Cargue estudio al OR]]&gt;1,"Verificación Técnica",
IF(EstadoSolicitudes[[#This Row],[Fecha solicitud estudio]]&gt;1,"Estudio de conexión",
IF(EstadoSolicitudes[[#This Row],[Insumos revisados]]="No",IF(EstadoSolicitudes[[#This Row],[Fecha entrega insumos OR]]&gt;1,"Evolti","Espera de insumos"),
"Evolti")))))</f>
        <v>Evolti</v>
      </c>
      <c r="D98" s="46" t="s">
        <v>153</v>
      </c>
      <c r="G98" s="46" t="s">
        <v>227</v>
      </c>
      <c r="H98" s="46">
        <v>901432582</v>
      </c>
      <c r="I98" s="56" t="s">
        <v>267</v>
      </c>
      <c r="J98" s="137">
        <v>45708</v>
      </c>
      <c r="K98" s="49">
        <v>3702</v>
      </c>
      <c r="L98" s="50" t="s">
        <v>268</v>
      </c>
      <c r="M98" s="48">
        <v>45730</v>
      </c>
      <c r="N98" s="75" t="s">
        <v>229</v>
      </c>
      <c r="R98" s="72"/>
      <c r="S98" s="48"/>
      <c r="T98" s="48" t="s">
        <v>145</v>
      </c>
      <c r="U98" s="48"/>
      <c r="V98" s="48"/>
    </row>
    <row r="99" spans="1:24" ht="15" hidden="1" customHeight="1" x14ac:dyDescent="0.25">
      <c r="A99" s="152">
        <f t="shared" si="9"/>
        <v>93</v>
      </c>
      <c r="B99" s="46" t="s">
        <v>394</v>
      </c>
      <c r="C99" s="46" t="s">
        <v>146</v>
      </c>
      <c r="D99" s="46" t="s">
        <v>151</v>
      </c>
      <c r="G99" s="46" t="s">
        <v>227</v>
      </c>
      <c r="H99" s="46">
        <v>901432582</v>
      </c>
      <c r="I99" s="78" t="s">
        <v>232</v>
      </c>
      <c r="J99" s="48">
        <v>45699</v>
      </c>
      <c r="K99" s="49"/>
      <c r="L99" s="50"/>
      <c r="M99" s="48">
        <v>45706</v>
      </c>
      <c r="N99" s="75" t="s">
        <v>210</v>
      </c>
      <c r="O99" s="48">
        <v>45713</v>
      </c>
      <c r="P99" s="48" t="s">
        <v>166</v>
      </c>
      <c r="Q99" s="48">
        <v>45716</v>
      </c>
      <c r="R99" s="72" t="s">
        <v>395</v>
      </c>
      <c r="S99" s="48"/>
      <c r="T99" s="48" t="s">
        <v>147</v>
      </c>
      <c r="U99" s="48"/>
      <c r="V99" s="48">
        <f>+EstadoSolicitudes[[#This Row],[Fecha respuesta final OR]]+180+90</f>
        <v>270</v>
      </c>
      <c r="W99" s="48" t="s">
        <v>286</v>
      </c>
    </row>
    <row r="100" spans="1:24" ht="15" hidden="1" customHeight="1" x14ac:dyDescent="0.25">
      <c r="A100" s="152">
        <f t="shared" si="9"/>
        <v>94</v>
      </c>
      <c r="B100" s="46" t="s">
        <v>396</v>
      </c>
      <c r="C100" s="46" t="s">
        <v>146</v>
      </c>
      <c r="D100" s="46" t="s">
        <v>151</v>
      </c>
      <c r="G100" s="46" t="s">
        <v>227</v>
      </c>
      <c r="H100" s="46">
        <v>901432582</v>
      </c>
      <c r="I100" s="78" t="s">
        <v>232</v>
      </c>
      <c r="J100" s="48">
        <v>45712</v>
      </c>
      <c r="K100" s="49"/>
      <c r="L100" s="50"/>
      <c r="M100" s="48">
        <v>45721</v>
      </c>
      <c r="N100" s="75" t="s">
        <v>210</v>
      </c>
      <c r="O100" s="48">
        <v>45728</v>
      </c>
      <c r="P100" s="48" t="s">
        <v>166</v>
      </c>
      <c r="Q100" s="48">
        <v>45730</v>
      </c>
      <c r="R100" s="72"/>
      <c r="S100" s="48"/>
      <c r="T100" s="48" t="s">
        <v>147</v>
      </c>
      <c r="U100" s="48"/>
      <c r="V100" s="48">
        <f>+EstadoSolicitudes[[#This Row],[Fecha respuesta final OR]]+180+90</f>
        <v>270</v>
      </c>
      <c r="W100" s="48" t="s">
        <v>286</v>
      </c>
    </row>
    <row r="101" spans="1:24" ht="15" hidden="1" customHeight="1" x14ac:dyDescent="0.25">
      <c r="A101" s="152">
        <f t="shared" si="9"/>
        <v>95</v>
      </c>
      <c r="B101" s="46" t="s">
        <v>397</v>
      </c>
      <c r="C101" s="46" t="s">
        <v>146</v>
      </c>
      <c r="D101" s="46" t="s">
        <v>151</v>
      </c>
      <c r="G101" s="46" t="s">
        <v>227</v>
      </c>
      <c r="H101" s="46">
        <v>901432582</v>
      </c>
      <c r="I101" s="78" t="s">
        <v>232</v>
      </c>
      <c r="J101" s="48">
        <v>45712</v>
      </c>
      <c r="K101" s="49"/>
      <c r="L101" s="50"/>
      <c r="M101" s="48">
        <v>45721</v>
      </c>
      <c r="N101" s="75" t="s">
        <v>210</v>
      </c>
      <c r="O101" s="48">
        <v>45728</v>
      </c>
      <c r="P101" s="48" t="s">
        <v>166</v>
      </c>
      <c r="Q101" s="48">
        <v>45730</v>
      </c>
      <c r="R101" s="72"/>
      <c r="S101" s="48"/>
      <c r="T101" s="48" t="s">
        <v>147</v>
      </c>
      <c r="U101" s="48"/>
      <c r="V101" s="48">
        <f>+EstadoSolicitudes[[#This Row],[Fecha respuesta final OR]]+180+90</f>
        <v>270</v>
      </c>
      <c r="W101" s="48" t="s">
        <v>286</v>
      </c>
    </row>
    <row r="102" spans="1:24" ht="15" hidden="1" customHeight="1" x14ac:dyDescent="0.25">
      <c r="A102" s="152">
        <f t="shared" si="9"/>
        <v>96</v>
      </c>
      <c r="B102" s="46" t="s">
        <v>398</v>
      </c>
      <c r="C102" s="46" t="s">
        <v>144</v>
      </c>
      <c r="D102" s="46" t="s">
        <v>151</v>
      </c>
      <c r="G102" s="46" t="s">
        <v>227</v>
      </c>
      <c r="H102" s="46">
        <v>901432582</v>
      </c>
      <c r="I102" s="78" t="s">
        <v>232</v>
      </c>
      <c r="J102" s="48">
        <v>45721</v>
      </c>
      <c r="K102" s="49"/>
      <c r="L102" s="50"/>
      <c r="M102" s="48">
        <v>45728</v>
      </c>
      <c r="N102" s="75" t="s">
        <v>210</v>
      </c>
      <c r="Q102" s="48"/>
      <c r="R102" s="72"/>
      <c r="S102" s="48"/>
      <c r="T102" s="48" t="s">
        <v>147</v>
      </c>
      <c r="U102" s="48"/>
      <c r="V102" s="48">
        <f>+EstadoSolicitudes[[#This Row],[Fecha respuesta final OR]]+180+90</f>
        <v>270</v>
      </c>
      <c r="W102" s="48" t="s">
        <v>286</v>
      </c>
    </row>
    <row r="103" spans="1:24" hidden="1" x14ac:dyDescent="0.25">
      <c r="A103" s="152">
        <f t="shared" si="9"/>
        <v>97</v>
      </c>
      <c r="B103" s="46" t="s">
        <v>399</v>
      </c>
      <c r="C103" s="46" t="s">
        <v>146</v>
      </c>
      <c r="D103" s="46" t="s">
        <v>151</v>
      </c>
      <c r="E103" s="152" t="s">
        <v>262</v>
      </c>
      <c r="F103" s="152" t="s">
        <v>263</v>
      </c>
      <c r="G103" s="46" t="s">
        <v>227</v>
      </c>
      <c r="H103" s="46">
        <v>901432582</v>
      </c>
      <c r="I103" s="78" t="s">
        <v>232</v>
      </c>
      <c r="J103" s="48">
        <v>45709</v>
      </c>
      <c r="K103" s="49"/>
      <c r="L103" s="50"/>
      <c r="M103" s="48">
        <v>45716</v>
      </c>
      <c r="N103" s="75" t="s">
        <v>210</v>
      </c>
      <c r="R103" s="72"/>
      <c r="S103" s="48"/>
      <c r="T103" s="48" t="s">
        <v>145</v>
      </c>
      <c r="U103" s="48"/>
      <c r="V103" s="48"/>
      <c r="W103" s="48" t="s">
        <v>286</v>
      </c>
    </row>
    <row r="104" spans="1:24" hidden="1" x14ac:dyDescent="0.25">
      <c r="A104" s="152">
        <f t="shared" si="9"/>
        <v>98</v>
      </c>
      <c r="B104" s="46" t="s">
        <v>400</v>
      </c>
      <c r="C104" s="46" t="s">
        <v>146</v>
      </c>
      <c r="D104" s="46" t="s">
        <v>151</v>
      </c>
      <c r="E104" s="152" t="s">
        <v>262</v>
      </c>
      <c r="F104" s="152" t="s">
        <v>263</v>
      </c>
      <c r="G104" s="46" t="s">
        <v>227</v>
      </c>
      <c r="H104" s="46">
        <v>901432582</v>
      </c>
      <c r="I104" s="78" t="s">
        <v>232</v>
      </c>
      <c r="J104" s="48">
        <v>45709</v>
      </c>
      <c r="K104" s="49"/>
      <c r="L104" s="50"/>
      <c r="M104" s="48">
        <v>45716</v>
      </c>
      <c r="N104" s="75" t="s">
        <v>210</v>
      </c>
      <c r="R104" s="72"/>
      <c r="S104" s="48"/>
      <c r="T104" s="48" t="s">
        <v>145</v>
      </c>
      <c r="U104" s="48"/>
      <c r="V104" s="48"/>
      <c r="W104" s="48" t="s">
        <v>286</v>
      </c>
    </row>
    <row r="105" spans="1:24" hidden="1" x14ac:dyDescent="0.25">
      <c r="A105" s="152">
        <f t="shared" si="9"/>
        <v>99</v>
      </c>
      <c r="B105" s="46" t="s">
        <v>401</v>
      </c>
      <c r="C105" s="46" t="str">
        <f>+IF(EstadoSolicitudes[[#This Row],[Aprobado OR]]="Aprobado",EstadoSolicitudes[[#This Row],[Aprobado OR]],
IF(EstadoSolicitudes[[#This Row],[Aprobado OR]]="Cancelado",EstadoSolicitudes[[#This Row],[Aprobado OR]],
IF(EstadoSolicitudes[[#This Row],[Cargue estudio al OR]]&gt;1,"Verificación Técnica",
IF(EstadoSolicitudes[[#This Row],[Fecha solicitud estudio]]&gt;1,"Estudio de conexión",
IF(EstadoSolicitudes[[#This Row],[Insumos revisados]]="No",IF(EstadoSolicitudes[[#This Row],[Fecha entrega insumos OR]]&gt;1,"Evolti","Espera de insumos"),
"Evolti")))))</f>
        <v>Evolti</v>
      </c>
      <c r="D105" s="46" t="s">
        <v>151</v>
      </c>
      <c r="E105" s="152" t="s">
        <v>324</v>
      </c>
      <c r="F105" s="152" t="s">
        <v>325</v>
      </c>
      <c r="G105" s="46" t="s">
        <v>227</v>
      </c>
      <c r="H105" s="46">
        <v>901432582</v>
      </c>
      <c r="I105" s="78" t="s">
        <v>232</v>
      </c>
      <c r="J105" s="48">
        <v>45709</v>
      </c>
      <c r="K105" s="49"/>
      <c r="L105" s="50"/>
      <c r="M105" s="48">
        <v>45720</v>
      </c>
      <c r="N105" s="75" t="s">
        <v>210</v>
      </c>
      <c r="R105" s="72"/>
      <c r="S105" s="48"/>
      <c r="T105" s="48" t="s">
        <v>145</v>
      </c>
      <c r="U105" s="48"/>
      <c r="V105" s="48"/>
      <c r="W105" s="48" t="s">
        <v>286</v>
      </c>
    </row>
    <row r="106" spans="1:24" hidden="1" x14ac:dyDescent="0.25">
      <c r="A106" s="152">
        <f t="shared" si="9"/>
        <v>100</v>
      </c>
      <c r="B106" s="46" t="s">
        <v>402</v>
      </c>
      <c r="C106" s="46" t="str">
        <f>+IF(EstadoSolicitudes[[#This Row],[Aprobado OR]]="Aprobado",EstadoSolicitudes[[#This Row],[Aprobado OR]],
IF(EstadoSolicitudes[[#This Row],[Aprobado OR]]="Cancelado",EstadoSolicitudes[[#This Row],[Aprobado OR]],
IF(EstadoSolicitudes[[#This Row],[Cargue estudio al OR]]&gt;1,"Verificación Técnica",
IF(EstadoSolicitudes[[#This Row],[Fecha solicitud estudio]]&gt;1,"Estudio de conexión",
IF(EstadoSolicitudes[[#This Row],[Insumos revisados]]="No",IF(EstadoSolicitudes[[#This Row],[Fecha entrega insumos OR]]&gt;1,"Evolti","Espera de insumos"),
"Evolti")))))</f>
        <v>Evolti</v>
      </c>
      <c r="D106" s="46" t="s">
        <v>151</v>
      </c>
      <c r="E106" s="152" t="s">
        <v>324</v>
      </c>
      <c r="F106" s="152" t="s">
        <v>325</v>
      </c>
      <c r="G106" s="46" t="s">
        <v>227</v>
      </c>
      <c r="H106" s="46">
        <v>901432582</v>
      </c>
      <c r="I106" s="78" t="s">
        <v>232</v>
      </c>
      <c r="J106" s="48">
        <v>45709</v>
      </c>
      <c r="K106" s="49"/>
      <c r="L106" s="50"/>
      <c r="M106" s="48">
        <v>45720</v>
      </c>
      <c r="N106" s="75" t="s">
        <v>210</v>
      </c>
      <c r="R106" s="72"/>
      <c r="S106" s="48"/>
      <c r="T106" s="48" t="s">
        <v>145</v>
      </c>
      <c r="U106" s="48"/>
      <c r="V106" s="48"/>
      <c r="W106" s="48" t="s">
        <v>286</v>
      </c>
    </row>
    <row r="107" spans="1:24" hidden="1" x14ac:dyDescent="0.25">
      <c r="A107" s="152">
        <f t="shared" si="9"/>
        <v>101</v>
      </c>
      <c r="B107" s="46" t="s">
        <v>403</v>
      </c>
      <c r="C107" s="46" t="str">
        <f>+IF(EstadoSolicitudes[[#This Row],[Aprobado OR]]="Aprobado",EstadoSolicitudes[[#This Row],[Aprobado OR]],
IF(EstadoSolicitudes[[#This Row],[Aprobado OR]]="Cancelado",EstadoSolicitudes[[#This Row],[Aprobado OR]],
IF(EstadoSolicitudes[[#This Row],[Cargue estudio al OR]]&gt;1,"Verificación Técnica",
IF(EstadoSolicitudes[[#This Row],[Fecha solicitud estudio]]&gt;1,"Estudio de conexión",
IF(EstadoSolicitudes[[#This Row],[Insumos revisados]]="No",IF(EstadoSolicitudes[[#This Row],[Fecha entrega insumos OR]]&gt;1,"Evolti","Espera de insumos"),
"Evolti")))))</f>
        <v>Evolti</v>
      </c>
      <c r="D107" s="46" t="s">
        <v>151</v>
      </c>
      <c r="E107" s="152" t="s">
        <v>324</v>
      </c>
      <c r="F107" s="152" t="s">
        <v>325</v>
      </c>
      <c r="G107" s="46" t="s">
        <v>227</v>
      </c>
      <c r="H107" s="46">
        <v>901432582</v>
      </c>
      <c r="I107" s="78" t="s">
        <v>232</v>
      </c>
      <c r="J107" s="48">
        <v>45709</v>
      </c>
      <c r="K107" s="49"/>
      <c r="L107" s="50"/>
      <c r="M107" s="48">
        <v>45720</v>
      </c>
      <c r="N107" s="75" t="s">
        <v>210</v>
      </c>
      <c r="R107" s="72"/>
      <c r="S107" s="48"/>
      <c r="T107" s="48" t="s">
        <v>145</v>
      </c>
      <c r="U107" s="48"/>
      <c r="V107" s="48"/>
      <c r="W107" s="48" t="s">
        <v>286</v>
      </c>
    </row>
    <row r="108" spans="1:24" ht="31.5" hidden="1" x14ac:dyDescent="0.25">
      <c r="A108" s="152">
        <f t="shared" si="9"/>
        <v>102</v>
      </c>
      <c r="B108" s="46" t="s">
        <v>404</v>
      </c>
      <c r="C108" s="46" t="str">
        <f>+IF(EstadoSolicitudes[[#This Row],[Aprobado OR]]="Aprobado",EstadoSolicitudes[[#This Row],[Aprobado OR]],
IF(EstadoSolicitudes[[#This Row],[Aprobado OR]]="Cancelado",EstadoSolicitudes[[#This Row],[Aprobado OR]],
IF(EstadoSolicitudes[[#This Row],[Cargue estudio al OR]]&gt;1,"Verificación Técnica",
IF(EstadoSolicitudes[[#This Row],[Fecha solicitud estudio]]&gt;1,"Estudio de conexión",
IF(EstadoSolicitudes[[#This Row],[Insumos revisados]]="No",IF(EstadoSolicitudes[[#This Row],[Fecha entrega insumos OR]]&gt;1,"Evolti","Espera de insumos"),
"Evolti")))))</f>
        <v>Evolti</v>
      </c>
      <c r="D108" s="46" t="s">
        <v>154</v>
      </c>
      <c r="E108" s="152" t="s">
        <v>334</v>
      </c>
      <c r="F108" s="233" t="s">
        <v>405</v>
      </c>
      <c r="G108" s="46" t="s">
        <v>227</v>
      </c>
      <c r="H108" s="46">
        <v>901432582</v>
      </c>
      <c r="I108" s="78" t="s">
        <v>232</v>
      </c>
      <c r="J108" s="137">
        <v>45714</v>
      </c>
      <c r="K108" s="49">
        <v>23029</v>
      </c>
      <c r="L108" s="50"/>
      <c r="M108" s="48">
        <v>45765</v>
      </c>
      <c r="N108" s="75" t="s">
        <v>210</v>
      </c>
      <c r="R108" s="72"/>
      <c r="S108" s="48"/>
      <c r="T108" s="48" t="s">
        <v>145</v>
      </c>
      <c r="U108" s="48"/>
      <c r="V108" s="48"/>
    </row>
    <row r="109" spans="1:24" ht="31.5" hidden="1" x14ac:dyDescent="0.25">
      <c r="A109" s="152">
        <f t="shared" si="9"/>
        <v>103</v>
      </c>
      <c r="B109" s="46" t="s">
        <v>406</v>
      </c>
      <c r="C109" s="46" t="str">
        <f>+IF(EstadoSolicitudes[[#This Row],[Aprobado OR]]="Aprobado",EstadoSolicitudes[[#This Row],[Aprobado OR]],
IF(EstadoSolicitudes[[#This Row],[Aprobado OR]]="Cancelado",EstadoSolicitudes[[#This Row],[Aprobado OR]],
IF(EstadoSolicitudes[[#This Row],[Cargue estudio al OR]]&gt;1,"Verificación Técnica",
IF(EstadoSolicitudes[[#This Row],[Fecha solicitud estudio]]&gt;1,"Estudio de conexión",
IF(EstadoSolicitudes[[#This Row],[Insumos revisados]]="No",IF(EstadoSolicitudes[[#This Row],[Fecha entrega insumos OR]]&gt;1,"Evolti","Espera de insumos"),
"Evolti")))))</f>
        <v>Evolti</v>
      </c>
      <c r="D109" s="46" t="s">
        <v>154</v>
      </c>
      <c r="E109" s="152" t="s">
        <v>334</v>
      </c>
      <c r="F109" s="233" t="s">
        <v>405</v>
      </c>
      <c r="G109" s="46" t="s">
        <v>227</v>
      </c>
      <c r="H109" s="46">
        <v>901432582</v>
      </c>
      <c r="I109" s="78" t="s">
        <v>232</v>
      </c>
      <c r="J109" s="137">
        <v>45714</v>
      </c>
      <c r="K109" s="49">
        <v>23032</v>
      </c>
      <c r="L109" s="50"/>
      <c r="M109" s="48">
        <v>45782</v>
      </c>
      <c r="N109" s="75" t="s">
        <v>210</v>
      </c>
      <c r="R109" s="72"/>
      <c r="S109" s="48"/>
      <c r="T109" s="48" t="s">
        <v>145</v>
      </c>
      <c r="U109" s="48"/>
      <c r="V109" s="48"/>
    </row>
    <row r="110" spans="1:24" ht="31.5" hidden="1" x14ac:dyDescent="0.25">
      <c r="A110" s="152">
        <f t="shared" si="9"/>
        <v>104</v>
      </c>
      <c r="B110" s="46" t="s">
        <v>407</v>
      </c>
      <c r="C110" s="46" t="str">
        <f>+IF(EstadoSolicitudes[[#This Row],[Aprobado OR]]="Aprobado",EstadoSolicitudes[[#This Row],[Aprobado OR]],
IF(EstadoSolicitudes[[#This Row],[Aprobado OR]]="Cancelado",EstadoSolicitudes[[#This Row],[Aprobado OR]],
IF(EstadoSolicitudes[[#This Row],[Cargue estudio al OR]]&gt;1,"Verificación Técnica",
IF(EstadoSolicitudes[[#This Row],[Fecha solicitud estudio]]&gt;1,"Estudio de conexión",
IF(EstadoSolicitudes[[#This Row],[Insumos revisados]]="No",IF(EstadoSolicitudes[[#This Row],[Fecha entrega insumos OR]]&gt;1,"Evolti","Espera de insumos"),
"Evolti")))))</f>
        <v>Evolti</v>
      </c>
      <c r="D110" s="46" t="s">
        <v>154</v>
      </c>
      <c r="E110" s="152" t="s">
        <v>334</v>
      </c>
      <c r="F110" s="233" t="s">
        <v>405</v>
      </c>
      <c r="G110" s="46" t="s">
        <v>227</v>
      </c>
      <c r="H110" s="46">
        <v>901432582</v>
      </c>
      <c r="I110" s="78" t="s">
        <v>232</v>
      </c>
      <c r="J110" s="137">
        <v>45714</v>
      </c>
      <c r="K110" s="49">
        <v>23034</v>
      </c>
      <c r="L110" s="50"/>
      <c r="M110" s="48">
        <v>45782</v>
      </c>
      <c r="N110" s="75" t="s">
        <v>210</v>
      </c>
      <c r="R110" s="72"/>
      <c r="S110" s="48"/>
      <c r="T110" s="48" t="s">
        <v>145</v>
      </c>
      <c r="U110" s="48"/>
      <c r="V110" s="48"/>
    </row>
    <row r="111" spans="1:24" ht="31.5" hidden="1" x14ac:dyDescent="0.25">
      <c r="A111" s="152">
        <f t="shared" si="9"/>
        <v>105</v>
      </c>
      <c r="B111" s="46" t="s">
        <v>408</v>
      </c>
      <c r="C111" s="46" t="s">
        <v>144</v>
      </c>
      <c r="D111" s="46" t="s">
        <v>154</v>
      </c>
      <c r="E111" s="152" t="s">
        <v>334</v>
      </c>
      <c r="F111" s="233" t="s">
        <v>335</v>
      </c>
      <c r="G111" s="46" t="s">
        <v>227</v>
      </c>
      <c r="H111" s="46">
        <v>901432582</v>
      </c>
      <c r="I111" s="78" t="s">
        <v>232</v>
      </c>
      <c r="J111" s="137">
        <v>45714</v>
      </c>
      <c r="K111" s="49">
        <v>23037</v>
      </c>
      <c r="L111" s="50"/>
      <c r="M111" s="48">
        <v>45782</v>
      </c>
      <c r="N111" s="75" t="s">
        <v>210</v>
      </c>
      <c r="R111" s="72"/>
      <c r="S111" s="48"/>
      <c r="T111" s="48" t="s">
        <v>145</v>
      </c>
      <c r="U111" s="48"/>
      <c r="V111" s="48"/>
      <c r="X111" s="46"/>
    </row>
    <row r="112" spans="1:24" ht="31.5" hidden="1" x14ac:dyDescent="0.25">
      <c r="A112" s="152">
        <f t="shared" si="9"/>
        <v>106</v>
      </c>
      <c r="B112" s="46" t="s">
        <v>409</v>
      </c>
      <c r="C112" s="46" t="s">
        <v>144</v>
      </c>
      <c r="D112" s="46" t="s">
        <v>154</v>
      </c>
      <c r="E112" s="152" t="s">
        <v>334</v>
      </c>
      <c r="F112" s="233" t="s">
        <v>335</v>
      </c>
      <c r="G112" s="46" t="s">
        <v>227</v>
      </c>
      <c r="H112" s="46">
        <v>901432582</v>
      </c>
      <c r="I112" s="78" t="s">
        <v>232</v>
      </c>
      <c r="J112" s="137">
        <v>45714</v>
      </c>
      <c r="K112" s="49">
        <v>23038</v>
      </c>
      <c r="L112" s="50"/>
      <c r="M112" s="48">
        <v>45782</v>
      </c>
      <c r="N112" s="75" t="s">
        <v>210</v>
      </c>
      <c r="R112" s="72"/>
      <c r="S112" s="48"/>
      <c r="T112" s="48" t="s">
        <v>145</v>
      </c>
      <c r="U112" s="48"/>
      <c r="V112" s="48"/>
      <c r="X112" s="46"/>
    </row>
    <row r="113" spans="1:23" ht="31.5" hidden="1" x14ac:dyDescent="0.25">
      <c r="A113" s="152">
        <f t="shared" si="9"/>
        <v>107</v>
      </c>
      <c r="B113" s="46" t="s">
        <v>410</v>
      </c>
      <c r="C113" s="46" t="str">
        <f>+IF(EstadoSolicitudes[[#This Row],[Aprobado OR]]="Aprobado",EstadoSolicitudes[[#This Row],[Aprobado OR]],
IF(EstadoSolicitudes[[#This Row],[Aprobado OR]]="Cancelado",EstadoSolicitudes[[#This Row],[Aprobado OR]],
IF(EstadoSolicitudes[[#This Row],[Cargue estudio al OR]]&gt;1,"Verificación Técnica",
IF(EstadoSolicitudes[[#This Row],[Fecha solicitud estudio]]&gt;1,"Estudio de conexión",
IF(EstadoSolicitudes[[#This Row],[Insumos revisados]]="No",IF(EstadoSolicitudes[[#This Row],[Fecha entrega insumos OR]]&gt;1,"Evolti","Espera de insumos"),
"Evolti")))))</f>
        <v>Evolti</v>
      </c>
      <c r="D113" s="46" t="s">
        <v>154</v>
      </c>
      <c r="E113" s="152" t="s">
        <v>334</v>
      </c>
      <c r="F113" s="233" t="s">
        <v>411</v>
      </c>
      <c r="G113" s="46" t="s">
        <v>227</v>
      </c>
      <c r="H113" s="46">
        <v>901432582</v>
      </c>
      <c r="I113" s="56" t="s">
        <v>267</v>
      </c>
      <c r="J113" s="137">
        <v>45714</v>
      </c>
      <c r="K113" s="49">
        <v>23039</v>
      </c>
      <c r="L113" s="50"/>
      <c r="M113" s="48">
        <v>45775</v>
      </c>
      <c r="N113" s="75" t="s">
        <v>210</v>
      </c>
      <c r="R113" s="72"/>
      <c r="S113" s="48"/>
      <c r="T113" s="48" t="s">
        <v>145</v>
      </c>
      <c r="U113" s="48"/>
      <c r="V113" s="48"/>
    </row>
    <row r="114" spans="1:23" ht="31.5" hidden="1" x14ac:dyDescent="0.25">
      <c r="A114" s="152">
        <f t="shared" si="9"/>
        <v>108</v>
      </c>
      <c r="B114" s="46" t="s">
        <v>412</v>
      </c>
      <c r="C114" s="46" t="str">
        <f>+IF(EstadoSolicitudes[[#This Row],[Aprobado OR]]="Aprobado",EstadoSolicitudes[[#This Row],[Aprobado OR]],
IF(EstadoSolicitudes[[#This Row],[Aprobado OR]]="Cancelado",EstadoSolicitudes[[#This Row],[Aprobado OR]],
IF(EstadoSolicitudes[[#This Row],[Cargue estudio al OR]]&gt;1,"Verificación Técnica",
IF(EstadoSolicitudes[[#This Row],[Fecha solicitud estudio]]&gt;1,"Estudio de conexión",
IF(EstadoSolicitudes[[#This Row],[Insumos revisados]]="No",IF(EstadoSolicitudes[[#This Row],[Fecha entrega insumos OR]]&gt;1,"Evolti","Espera de insumos"),
"Evolti")))))</f>
        <v>Evolti</v>
      </c>
      <c r="D114" s="46" t="s">
        <v>154</v>
      </c>
      <c r="E114" s="152" t="s">
        <v>334</v>
      </c>
      <c r="F114" s="233" t="s">
        <v>411</v>
      </c>
      <c r="G114" s="46" t="s">
        <v>227</v>
      </c>
      <c r="H114" s="46">
        <v>901432582</v>
      </c>
      <c r="I114" s="56" t="s">
        <v>267</v>
      </c>
      <c r="J114" s="137">
        <v>45714</v>
      </c>
      <c r="K114" s="49">
        <v>23040</v>
      </c>
      <c r="L114" s="50"/>
      <c r="M114" s="48">
        <v>45775</v>
      </c>
      <c r="N114" s="75" t="s">
        <v>210</v>
      </c>
      <c r="R114" s="72"/>
      <c r="S114" s="48"/>
      <c r="T114" s="48" t="s">
        <v>145</v>
      </c>
      <c r="U114" s="48"/>
      <c r="V114" s="48"/>
    </row>
    <row r="115" spans="1:23" ht="31.5" hidden="1" x14ac:dyDescent="0.25">
      <c r="A115" s="152">
        <f t="shared" si="9"/>
        <v>109</v>
      </c>
      <c r="B115" s="46" t="s">
        <v>413</v>
      </c>
      <c r="C115" s="46" t="str">
        <f>+IF(EstadoSolicitudes[[#This Row],[Aprobado OR]]="Aprobado",EstadoSolicitudes[[#This Row],[Aprobado OR]],
IF(EstadoSolicitudes[[#This Row],[Aprobado OR]]="Cancelado",EstadoSolicitudes[[#This Row],[Aprobado OR]],
IF(EstadoSolicitudes[[#This Row],[Cargue estudio al OR]]&gt;1,"Verificación Técnica",
IF(EstadoSolicitudes[[#This Row],[Fecha solicitud estudio]]&gt;1,"Estudio de conexión",
IF(EstadoSolicitudes[[#This Row],[Insumos revisados]]="No",IF(EstadoSolicitudes[[#This Row],[Fecha entrega insumos OR]]&gt;1,"Evolti","Espera de insumos"),
"Evolti")))))</f>
        <v>Evolti</v>
      </c>
      <c r="D115" s="46" t="s">
        <v>154</v>
      </c>
      <c r="E115" s="152" t="s">
        <v>334</v>
      </c>
      <c r="F115" s="233" t="s">
        <v>411</v>
      </c>
      <c r="G115" s="46" t="s">
        <v>227</v>
      </c>
      <c r="H115" s="46">
        <v>901432582</v>
      </c>
      <c r="I115" s="56" t="s">
        <v>267</v>
      </c>
      <c r="J115" s="137">
        <v>45714</v>
      </c>
      <c r="K115" s="49">
        <v>23041</v>
      </c>
      <c r="L115" s="50"/>
      <c r="M115" s="48">
        <v>45775</v>
      </c>
      <c r="N115" s="75" t="s">
        <v>210</v>
      </c>
      <c r="R115" s="72"/>
      <c r="S115" s="48"/>
      <c r="T115" s="48" t="s">
        <v>145</v>
      </c>
      <c r="U115" s="48"/>
      <c r="V115" s="48"/>
    </row>
    <row r="116" spans="1:23" hidden="1" x14ac:dyDescent="0.25">
      <c r="A116" s="152">
        <f t="shared" si="9"/>
        <v>110</v>
      </c>
      <c r="B116" s="46" t="s">
        <v>414</v>
      </c>
      <c r="C116" s="46" t="s">
        <v>144</v>
      </c>
      <c r="D116" s="46" t="s">
        <v>156</v>
      </c>
      <c r="E116" s="152" t="s">
        <v>368</v>
      </c>
      <c r="F116" s="152" t="s">
        <v>369</v>
      </c>
      <c r="G116" s="46" t="s">
        <v>227</v>
      </c>
      <c r="H116" s="46">
        <v>901432582</v>
      </c>
      <c r="I116" s="78" t="s">
        <v>232</v>
      </c>
      <c r="J116" s="137">
        <v>45714</v>
      </c>
      <c r="K116" s="49"/>
      <c r="L116" s="50"/>
      <c r="M116" s="48"/>
      <c r="N116" s="75" t="s">
        <v>229</v>
      </c>
      <c r="R116" s="72"/>
      <c r="S116" s="48"/>
      <c r="T116" s="48" t="s">
        <v>145</v>
      </c>
      <c r="U116" s="48"/>
      <c r="V116" s="48"/>
      <c r="W116" s="48" t="s">
        <v>286</v>
      </c>
    </row>
    <row r="117" spans="1:23" hidden="1" x14ac:dyDescent="0.25">
      <c r="A117" s="152">
        <f t="shared" si="9"/>
        <v>111</v>
      </c>
      <c r="B117" s="46" t="s">
        <v>415</v>
      </c>
      <c r="C117" s="46" t="s">
        <v>144</v>
      </c>
      <c r="D117" s="46" t="s">
        <v>156</v>
      </c>
      <c r="E117" s="152" t="s">
        <v>368</v>
      </c>
      <c r="F117" s="152" t="s">
        <v>369</v>
      </c>
      <c r="G117" s="46" t="s">
        <v>227</v>
      </c>
      <c r="H117" s="46">
        <v>901432582</v>
      </c>
      <c r="I117" s="78" t="s">
        <v>232</v>
      </c>
      <c r="J117" s="137">
        <v>45714</v>
      </c>
      <c r="K117" s="49"/>
      <c r="L117" s="50"/>
      <c r="M117" s="48"/>
      <c r="N117" s="75" t="s">
        <v>229</v>
      </c>
      <c r="R117" s="72"/>
      <c r="S117" s="48"/>
      <c r="T117" s="48" t="s">
        <v>145</v>
      </c>
      <c r="U117" s="48"/>
      <c r="V117" s="48"/>
      <c r="W117" s="48" t="s">
        <v>286</v>
      </c>
    </row>
    <row r="118" spans="1:23" hidden="1" x14ac:dyDescent="0.25">
      <c r="A118" s="152">
        <f t="shared" si="9"/>
        <v>112</v>
      </c>
      <c r="B118" s="46" t="s">
        <v>416</v>
      </c>
      <c r="C118" s="46" t="s">
        <v>148</v>
      </c>
      <c r="D118" s="46" t="s">
        <v>155</v>
      </c>
      <c r="G118" s="46" t="s">
        <v>227</v>
      </c>
      <c r="H118" s="46">
        <v>901432582</v>
      </c>
      <c r="I118" s="78" t="s">
        <v>232</v>
      </c>
      <c r="J118" s="48">
        <v>45715</v>
      </c>
      <c r="K118" s="49">
        <v>34874</v>
      </c>
      <c r="L118" s="50"/>
      <c r="M118" s="48"/>
      <c r="N118" s="75" t="s">
        <v>229</v>
      </c>
      <c r="R118" s="72"/>
      <c r="S118" s="48"/>
      <c r="T118" s="48" t="s">
        <v>145</v>
      </c>
      <c r="U118" s="48"/>
      <c r="V118" s="48"/>
      <c r="W118" s="48" t="s">
        <v>417</v>
      </c>
    </row>
    <row r="119" spans="1:23" hidden="1" x14ac:dyDescent="0.25">
      <c r="A119" s="152">
        <f t="shared" si="9"/>
        <v>113</v>
      </c>
      <c r="B119" s="46" t="s">
        <v>418</v>
      </c>
      <c r="C119" s="46" t="s">
        <v>148</v>
      </c>
      <c r="D119" s="46" t="s">
        <v>155</v>
      </c>
      <c r="G119" s="46" t="s">
        <v>227</v>
      </c>
      <c r="H119" s="46">
        <v>901432582</v>
      </c>
      <c r="I119" s="78" t="s">
        <v>232</v>
      </c>
      <c r="J119" s="48">
        <v>45715</v>
      </c>
      <c r="K119" s="49">
        <v>34875</v>
      </c>
      <c r="L119" s="50"/>
      <c r="M119" s="48"/>
      <c r="N119" s="75" t="s">
        <v>229</v>
      </c>
      <c r="R119" s="72"/>
      <c r="S119" s="48"/>
      <c r="T119" s="48" t="s">
        <v>145</v>
      </c>
      <c r="U119" s="48"/>
      <c r="V119" s="48"/>
      <c r="W119" s="48" t="s">
        <v>417</v>
      </c>
    </row>
    <row r="120" spans="1:23" hidden="1" x14ac:dyDescent="0.25">
      <c r="A120" s="152">
        <f t="shared" si="9"/>
        <v>114</v>
      </c>
      <c r="B120" s="46" t="s">
        <v>419</v>
      </c>
      <c r="C120" s="46" t="s">
        <v>148</v>
      </c>
      <c r="D120" s="46" t="s">
        <v>155</v>
      </c>
      <c r="G120" s="46" t="s">
        <v>227</v>
      </c>
      <c r="H120" s="46">
        <v>901432582</v>
      </c>
      <c r="I120" s="78" t="s">
        <v>232</v>
      </c>
      <c r="J120" s="48">
        <v>45715</v>
      </c>
      <c r="K120" s="49">
        <v>34876</v>
      </c>
      <c r="L120" s="50"/>
      <c r="M120" s="48"/>
      <c r="N120" s="75" t="s">
        <v>229</v>
      </c>
      <c r="R120" s="72"/>
      <c r="S120" s="48"/>
      <c r="T120" s="48" t="s">
        <v>145</v>
      </c>
      <c r="U120" s="48"/>
      <c r="V120" s="48"/>
      <c r="W120" s="48" t="s">
        <v>417</v>
      </c>
    </row>
    <row r="121" spans="1:23" ht="31.5" hidden="1" x14ac:dyDescent="0.25">
      <c r="A121" s="152">
        <f t="shared" si="9"/>
        <v>115</v>
      </c>
      <c r="B121" s="46" t="s">
        <v>420</v>
      </c>
      <c r="C121" s="46" t="s">
        <v>148</v>
      </c>
      <c r="D121" s="46" t="s">
        <v>155</v>
      </c>
      <c r="E121" s="152" t="s">
        <v>375</v>
      </c>
      <c r="F121" s="233" t="s">
        <v>376</v>
      </c>
      <c r="G121" s="46" t="s">
        <v>227</v>
      </c>
      <c r="H121" s="46">
        <v>901432582</v>
      </c>
      <c r="I121" s="78" t="s">
        <v>232</v>
      </c>
      <c r="J121" s="48">
        <v>45715</v>
      </c>
      <c r="K121" s="49">
        <v>34877</v>
      </c>
      <c r="L121" s="50"/>
      <c r="M121" s="48"/>
      <c r="N121" s="75" t="s">
        <v>229</v>
      </c>
      <c r="R121" s="72"/>
      <c r="S121" s="48"/>
      <c r="T121" s="48" t="s">
        <v>145</v>
      </c>
      <c r="U121" s="48"/>
      <c r="V121" s="48"/>
    </row>
    <row r="122" spans="1:23" ht="31.5" hidden="1" x14ac:dyDescent="0.25">
      <c r="A122" s="152">
        <f t="shared" si="9"/>
        <v>116</v>
      </c>
      <c r="B122" s="46" t="s">
        <v>421</v>
      </c>
      <c r="C122" s="46" t="s">
        <v>148</v>
      </c>
      <c r="D122" s="46" t="s">
        <v>155</v>
      </c>
      <c r="E122" s="152" t="s">
        <v>375</v>
      </c>
      <c r="F122" s="233" t="s">
        <v>376</v>
      </c>
      <c r="G122" s="46" t="s">
        <v>227</v>
      </c>
      <c r="H122" s="46">
        <v>901432582</v>
      </c>
      <c r="I122" s="78" t="s">
        <v>232</v>
      </c>
      <c r="J122" s="48">
        <v>45715</v>
      </c>
      <c r="K122" s="49">
        <v>34878</v>
      </c>
      <c r="L122" s="50"/>
      <c r="M122" s="48"/>
      <c r="N122" s="75" t="s">
        <v>229</v>
      </c>
      <c r="R122" s="72"/>
      <c r="S122" s="48"/>
      <c r="T122" s="48" t="s">
        <v>145</v>
      </c>
      <c r="U122" s="48"/>
      <c r="V122" s="48"/>
    </row>
    <row r="123" spans="1:23" hidden="1" x14ac:dyDescent="0.25">
      <c r="A123" s="152">
        <f t="shared" si="9"/>
        <v>117</v>
      </c>
      <c r="B123" s="129" t="s">
        <v>422</v>
      </c>
      <c r="C123" s="46" t="s">
        <v>305</v>
      </c>
      <c r="D123" s="46" t="s">
        <v>151</v>
      </c>
      <c r="G123" s="46" t="s">
        <v>227</v>
      </c>
      <c r="H123" s="46">
        <v>901683843</v>
      </c>
      <c r="I123" s="78" t="s">
        <v>232</v>
      </c>
      <c r="J123" s="48">
        <v>45715</v>
      </c>
      <c r="L123" s="50"/>
      <c r="M123" s="48">
        <v>45723</v>
      </c>
      <c r="N123" s="75" t="s">
        <v>210</v>
      </c>
      <c r="R123" s="72"/>
      <c r="S123" s="48"/>
      <c r="T123" s="48" t="s">
        <v>145</v>
      </c>
      <c r="U123" s="48"/>
      <c r="V123" s="48"/>
      <c r="W123" s="48" t="s">
        <v>286</v>
      </c>
    </row>
    <row r="124" spans="1:23" hidden="1" x14ac:dyDescent="0.25">
      <c r="A124" s="152">
        <f t="shared" si="9"/>
        <v>118</v>
      </c>
      <c r="B124" s="129" t="s">
        <v>423</v>
      </c>
      <c r="C124" s="46" t="s">
        <v>305</v>
      </c>
      <c r="D124" s="46" t="s">
        <v>151</v>
      </c>
      <c r="G124" s="46" t="s">
        <v>227</v>
      </c>
      <c r="H124" s="46">
        <v>901683843</v>
      </c>
      <c r="I124" s="78" t="s">
        <v>232</v>
      </c>
      <c r="J124" s="48">
        <v>45715</v>
      </c>
      <c r="L124" s="50"/>
      <c r="M124" s="48">
        <v>45723</v>
      </c>
      <c r="N124" s="75" t="s">
        <v>210</v>
      </c>
      <c r="R124" s="72"/>
      <c r="S124" s="48"/>
      <c r="T124" s="48" t="s">
        <v>145</v>
      </c>
      <c r="U124" s="48"/>
      <c r="V124" s="48"/>
      <c r="W124" s="48" t="s">
        <v>286</v>
      </c>
    </row>
    <row r="125" spans="1:23" hidden="1" x14ac:dyDescent="0.25">
      <c r="A125" s="152">
        <f t="shared" si="9"/>
        <v>119</v>
      </c>
      <c r="B125" s="46" t="s">
        <v>424</v>
      </c>
      <c r="C125" s="46" t="s">
        <v>148</v>
      </c>
      <c r="D125" s="46" t="s">
        <v>151</v>
      </c>
      <c r="E125" s="152" t="s">
        <v>262</v>
      </c>
      <c r="F125" s="152" t="s">
        <v>263</v>
      </c>
      <c r="G125" s="46" t="s">
        <v>227</v>
      </c>
      <c r="H125" s="46">
        <v>901432582</v>
      </c>
      <c r="I125" s="78" t="s">
        <v>232</v>
      </c>
      <c r="J125" s="48">
        <v>45715</v>
      </c>
      <c r="K125" s="49"/>
      <c r="L125" s="50"/>
      <c r="M125" s="48">
        <v>45723</v>
      </c>
      <c r="N125" s="75" t="s">
        <v>210</v>
      </c>
      <c r="R125" s="72"/>
      <c r="S125" s="48"/>
      <c r="T125" s="48" t="s">
        <v>145</v>
      </c>
      <c r="U125" s="48"/>
      <c r="V125" s="48"/>
      <c r="W125" s="48" t="s">
        <v>286</v>
      </c>
    </row>
    <row r="126" spans="1:23" hidden="1" x14ac:dyDescent="0.25">
      <c r="A126" s="152">
        <f t="shared" si="9"/>
        <v>120</v>
      </c>
      <c r="B126" s="46" t="s">
        <v>425</v>
      </c>
      <c r="C126" s="46" t="s">
        <v>148</v>
      </c>
      <c r="D126" s="46" t="s">
        <v>151</v>
      </c>
      <c r="E126" s="152" t="s">
        <v>262</v>
      </c>
      <c r="F126" s="152" t="s">
        <v>263</v>
      </c>
      <c r="G126" s="46" t="s">
        <v>227</v>
      </c>
      <c r="H126" s="46">
        <v>901432582</v>
      </c>
      <c r="I126" s="78" t="s">
        <v>232</v>
      </c>
      <c r="J126" s="48">
        <v>45715</v>
      </c>
      <c r="K126" s="49"/>
      <c r="L126" s="50"/>
      <c r="M126" s="48">
        <v>45723</v>
      </c>
      <c r="N126" s="75" t="s">
        <v>210</v>
      </c>
      <c r="R126" s="72"/>
      <c r="S126" s="48"/>
      <c r="T126" s="48" t="s">
        <v>145</v>
      </c>
      <c r="U126" s="48"/>
      <c r="V126" s="48"/>
      <c r="W126" s="48" t="s">
        <v>286</v>
      </c>
    </row>
    <row r="127" spans="1:23" hidden="1" x14ac:dyDescent="0.25">
      <c r="A127" s="152">
        <f t="shared" si="9"/>
        <v>121</v>
      </c>
      <c r="B127" s="46" t="s">
        <v>426</v>
      </c>
      <c r="C127" s="46" t="str">
        <f>+IF(EstadoSolicitudes[[#This Row],[Aprobado OR]]="Aprobado",EstadoSolicitudes[[#This Row],[Aprobado OR]],
IF(EstadoSolicitudes[[#This Row],[Aprobado OR]]="Cancelado",EstadoSolicitudes[[#This Row],[Aprobado OR]],
IF(EstadoSolicitudes[[#This Row],[Cargue estudio al OR]]&gt;1,"Verificación Técnica",
IF(EstadoSolicitudes[[#This Row],[Fecha solicitud estudio]]&gt;1,"Estudio de conexión",
IF(EstadoSolicitudes[[#This Row],[Insumos revisados]]="No",IF(EstadoSolicitudes[[#This Row],[Fecha entrega insumos OR]]&gt;1,"Evolti","Espera de insumos"),
"Evolti")))))</f>
        <v>Evolti</v>
      </c>
      <c r="D127" s="46" t="s">
        <v>161</v>
      </c>
      <c r="G127" s="46" t="s">
        <v>227</v>
      </c>
      <c r="H127" s="46">
        <v>901432582</v>
      </c>
      <c r="I127" s="78" t="s">
        <v>232</v>
      </c>
      <c r="J127" s="48">
        <v>45715</v>
      </c>
      <c r="K127" s="46">
        <v>62886676</v>
      </c>
      <c r="L127" s="50" t="s">
        <v>427</v>
      </c>
      <c r="M127" s="48">
        <v>45728</v>
      </c>
      <c r="N127" s="75" t="s">
        <v>210</v>
      </c>
      <c r="R127" s="72"/>
      <c r="S127" s="48"/>
      <c r="T127" s="48" t="s">
        <v>145</v>
      </c>
      <c r="U127" s="48"/>
      <c r="V127" s="48"/>
      <c r="W127" s="48" t="s">
        <v>383</v>
      </c>
    </row>
    <row r="128" spans="1:23" hidden="1" x14ac:dyDescent="0.25">
      <c r="A128" s="152">
        <f t="shared" si="9"/>
        <v>122</v>
      </c>
      <c r="B128" s="46" t="s">
        <v>428</v>
      </c>
      <c r="C128" s="46" t="str">
        <f>+IF(EstadoSolicitudes[[#This Row],[Aprobado OR]]="Aprobado",EstadoSolicitudes[[#This Row],[Aprobado OR]],
IF(EstadoSolicitudes[[#This Row],[Aprobado OR]]="Cancelado",EstadoSolicitudes[[#This Row],[Aprobado OR]],
IF(EstadoSolicitudes[[#This Row],[Cargue estudio al OR]]&gt;1,"Verificación Técnica",
IF(EstadoSolicitudes[[#This Row],[Fecha solicitud estudio]]&gt;1,"Estudio de conexión",
IF(EstadoSolicitudes[[#This Row],[Insumos revisados]]="No",IF(EstadoSolicitudes[[#This Row],[Fecha entrega insumos OR]]&gt;1,"Evolti","Espera de insumos"),
"Evolti")))))</f>
        <v>Evolti</v>
      </c>
      <c r="D128" s="46" t="s">
        <v>161</v>
      </c>
      <c r="G128" s="46" t="s">
        <v>227</v>
      </c>
      <c r="H128" s="46">
        <v>901432582</v>
      </c>
      <c r="I128" s="78" t="s">
        <v>232</v>
      </c>
      <c r="J128" s="48">
        <v>45715</v>
      </c>
      <c r="K128" s="46">
        <v>62886877</v>
      </c>
      <c r="L128" s="50" t="s">
        <v>429</v>
      </c>
      <c r="M128" s="48">
        <v>45728</v>
      </c>
      <c r="N128" s="75" t="s">
        <v>210</v>
      </c>
      <c r="R128" s="72"/>
      <c r="S128" s="48"/>
      <c r="T128" s="48" t="s">
        <v>145</v>
      </c>
      <c r="U128" s="48"/>
      <c r="V128" s="48"/>
      <c r="W128" s="48" t="s">
        <v>383</v>
      </c>
    </row>
    <row r="129" spans="1:23" hidden="1" x14ac:dyDescent="0.25">
      <c r="A129" s="152">
        <f t="shared" si="9"/>
        <v>123</v>
      </c>
      <c r="B129" s="46" t="s">
        <v>430</v>
      </c>
      <c r="C129" s="46" t="str">
        <f>+IF(EstadoSolicitudes[[#This Row],[Aprobado OR]]="Aprobado",EstadoSolicitudes[[#This Row],[Aprobado OR]],
IF(EstadoSolicitudes[[#This Row],[Aprobado OR]]="Cancelado",EstadoSolicitudes[[#This Row],[Aprobado OR]],
IF(EstadoSolicitudes[[#This Row],[Cargue estudio al OR]]&gt;1,"Verificación Técnica",
IF(EstadoSolicitudes[[#This Row],[Fecha solicitud estudio]]&gt;1,"Estudio de conexión",
IF(EstadoSolicitudes[[#This Row],[Insumos revisados]]="No",IF(EstadoSolicitudes[[#This Row],[Fecha entrega insumos OR]]&gt;1,"Evolti","Espera de insumos"),
"Evolti")))))</f>
        <v>Evolti</v>
      </c>
      <c r="D129" s="46" t="s">
        <v>161</v>
      </c>
      <c r="G129" s="46" t="s">
        <v>227</v>
      </c>
      <c r="H129" s="46">
        <v>901432582</v>
      </c>
      <c r="I129" s="78" t="s">
        <v>232</v>
      </c>
      <c r="J129" s="48">
        <v>45715</v>
      </c>
      <c r="K129" s="46">
        <v>62888311</v>
      </c>
      <c r="L129" s="50" t="s">
        <v>431</v>
      </c>
      <c r="M129" s="48">
        <v>45728</v>
      </c>
      <c r="N129" s="75" t="s">
        <v>210</v>
      </c>
      <c r="R129" s="72"/>
      <c r="S129" s="48"/>
      <c r="T129" s="48" t="s">
        <v>145</v>
      </c>
      <c r="U129" s="48"/>
      <c r="V129" s="48"/>
      <c r="W129" s="48" t="s">
        <v>383</v>
      </c>
    </row>
    <row r="130" spans="1:23" hidden="1" x14ac:dyDescent="0.25">
      <c r="A130" s="152">
        <f t="shared" si="9"/>
        <v>124</v>
      </c>
      <c r="B130" s="46" t="s">
        <v>416</v>
      </c>
      <c r="C130" s="46" t="str">
        <f>+IF(EstadoSolicitudes[[#This Row],[Aprobado OR]]="Aprobado",EstadoSolicitudes[[#This Row],[Aprobado OR]],
IF(EstadoSolicitudes[[#This Row],[Aprobado OR]]="Cancelado",EstadoSolicitudes[[#This Row],[Aprobado OR]],
IF(EstadoSolicitudes[[#This Row],[Cargue estudio al OR]]&gt;1,"Verificación Técnica",
IF(EstadoSolicitudes[[#This Row],[Fecha solicitud estudio]]&gt;1,"Estudio de conexión",
IF(EstadoSolicitudes[[#This Row],[Insumos revisados]]="No",IF(EstadoSolicitudes[[#This Row],[Fecha entrega insumos OR]]&gt;1,"Evolti","Espera de insumos"),
"Evolti")))))</f>
        <v>Espera de insumos</v>
      </c>
      <c r="D130" s="46" t="s">
        <v>155</v>
      </c>
      <c r="G130" s="46" t="s">
        <v>227</v>
      </c>
      <c r="H130" s="46">
        <v>901432582</v>
      </c>
      <c r="I130" s="78" t="s">
        <v>232</v>
      </c>
      <c r="J130" s="48">
        <v>45715</v>
      </c>
      <c r="K130" s="49">
        <v>34994</v>
      </c>
      <c r="L130" s="50"/>
      <c r="M130" s="48"/>
      <c r="N130" s="75" t="s">
        <v>229</v>
      </c>
      <c r="R130" s="72"/>
      <c r="S130" s="48"/>
      <c r="T130" s="48" t="s">
        <v>145</v>
      </c>
      <c r="U130" s="48"/>
      <c r="V130" s="48"/>
    </row>
    <row r="131" spans="1:23" hidden="1" x14ac:dyDescent="0.25">
      <c r="A131" s="152">
        <f t="shared" si="9"/>
        <v>125</v>
      </c>
      <c r="B131" s="46" t="s">
        <v>418</v>
      </c>
      <c r="C131" s="46" t="str">
        <f>+IF(EstadoSolicitudes[[#This Row],[Aprobado OR]]="Aprobado",EstadoSolicitudes[[#This Row],[Aprobado OR]],
IF(EstadoSolicitudes[[#This Row],[Aprobado OR]]="Cancelado",EstadoSolicitudes[[#This Row],[Aprobado OR]],
IF(EstadoSolicitudes[[#This Row],[Cargue estudio al OR]]&gt;1,"Verificación Técnica",
IF(EstadoSolicitudes[[#This Row],[Fecha solicitud estudio]]&gt;1,"Estudio de conexión",
IF(EstadoSolicitudes[[#This Row],[Insumos revisados]]="No",IF(EstadoSolicitudes[[#This Row],[Fecha entrega insumos OR]]&gt;1,"Evolti","Espera de insumos"),
"Evolti")))))</f>
        <v>Espera de insumos</v>
      </c>
      <c r="D131" s="46" t="s">
        <v>155</v>
      </c>
      <c r="G131" s="46" t="s">
        <v>227</v>
      </c>
      <c r="H131" s="46">
        <v>901432582</v>
      </c>
      <c r="I131" s="78" t="s">
        <v>232</v>
      </c>
      <c r="J131" s="48">
        <v>45715</v>
      </c>
      <c r="K131" s="49">
        <v>34995</v>
      </c>
      <c r="L131" s="50"/>
      <c r="M131" s="48"/>
      <c r="N131" s="75" t="s">
        <v>229</v>
      </c>
      <c r="R131" s="72"/>
      <c r="S131" s="48"/>
      <c r="T131" s="48" t="s">
        <v>145</v>
      </c>
      <c r="U131" s="48"/>
      <c r="V131" s="48"/>
    </row>
    <row r="132" spans="1:23" hidden="1" x14ac:dyDescent="0.25">
      <c r="A132" s="152">
        <f t="shared" si="9"/>
        <v>126</v>
      </c>
      <c r="B132" s="46" t="s">
        <v>419</v>
      </c>
      <c r="C132" s="46" t="str">
        <f>+IF(EstadoSolicitudes[[#This Row],[Aprobado OR]]="Aprobado",EstadoSolicitudes[[#This Row],[Aprobado OR]],
IF(EstadoSolicitudes[[#This Row],[Aprobado OR]]="Cancelado",EstadoSolicitudes[[#This Row],[Aprobado OR]],
IF(EstadoSolicitudes[[#This Row],[Cargue estudio al OR]]&gt;1,"Verificación Técnica",
IF(EstadoSolicitudes[[#This Row],[Fecha solicitud estudio]]&gt;1,"Estudio de conexión",
IF(EstadoSolicitudes[[#This Row],[Insumos revisados]]="No",IF(EstadoSolicitudes[[#This Row],[Fecha entrega insumos OR]]&gt;1,"Evolti","Espera de insumos"),
"Evolti")))))</f>
        <v>Espera de insumos</v>
      </c>
      <c r="D132" s="46" t="s">
        <v>155</v>
      </c>
      <c r="G132" s="46" t="s">
        <v>227</v>
      </c>
      <c r="H132" s="46">
        <v>901432582</v>
      </c>
      <c r="I132" s="78" t="s">
        <v>232</v>
      </c>
      <c r="J132" s="48">
        <v>45715</v>
      </c>
      <c r="K132" s="49">
        <v>34996</v>
      </c>
      <c r="L132" s="50"/>
      <c r="M132" s="48"/>
      <c r="N132" s="75" t="s">
        <v>229</v>
      </c>
      <c r="R132" s="72"/>
      <c r="S132" s="48"/>
      <c r="T132" s="48" t="s">
        <v>145</v>
      </c>
      <c r="U132" s="48"/>
      <c r="V132" s="48"/>
    </row>
    <row r="133" spans="1:23" hidden="1" x14ac:dyDescent="0.25">
      <c r="A133" s="152">
        <f t="shared" si="9"/>
        <v>127</v>
      </c>
      <c r="B133" s="46" t="s">
        <v>432</v>
      </c>
      <c r="C133" s="46" t="str">
        <f>+IF(EstadoSolicitudes[[#This Row],[Aprobado OR]]="Aprobado",EstadoSolicitudes[[#This Row],[Aprobado OR]],
IF(EstadoSolicitudes[[#This Row],[Aprobado OR]]="Cancelado",EstadoSolicitudes[[#This Row],[Aprobado OR]],
IF(EstadoSolicitudes[[#This Row],[Cargue estudio al OR]]&gt;1,"Verificación Técnica",
IF(EstadoSolicitudes[[#This Row],[Fecha solicitud estudio]]&gt;1,"Estudio de conexión",
IF(EstadoSolicitudes[[#This Row],[Insumos revisados]]="No",IF(EstadoSolicitudes[[#This Row],[Fecha entrega insumos OR]]&gt;1,"Evolti","Espera de insumos"),
"Evolti")))))</f>
        <v>Estudio de conexión</v>
      </c>
      <c r="D133" s="46" t="s">
        <v>159</v>
      </c>
      <c r="E133" s="152" t="s">
        <v>433</v>
      </c>
      <c r="F133" s="152">
        <v>14695</v>
      </c>
      <c r="G133" s="46" t="s">
        <v>227</v>
      </c>
      <c r="H133" s="46">
        <v>901432582</v>
      </c>
      <c r="I133" s="78" t="s">
        <v>232</v>
      </c>
      <c r="J133" s="48">
        <v>45720</v>
      </c>
      <c r="K133" s="46">
        <v>15485</v>
      </c>
      <c r="L133" s="50" t="s">
        <v>434</v>
      </c>
      <c r="M133" s="48">
        <v>45734</v>
      </c>
      <c r="N133" s="75" t="s">
        <v>210</v>
      </c>
      <c r="O133" s="48">
        <v>45770</v>
      </c>
      <c r="P133" s="48" t="s">
        <v>165</v>
      </c>
      <c r="R133" s="72"/>
      <c r="S133" s="48"/>
      <c r="T133" s="48" t="s">
        <v>145</v>
      </c>
      <c r="U133" s="48"/>
      <c r="V133" s="48"/>
    </row>
    <row r="134" spans="1:23" hidden="1" x14ac:dyDescent="0.25">
      <c r="A134" s="152">
        <f t="shared" si="9"/>
        <v>128</v>
      </c>
      <c r="B134" s="46" t="s">
        <v>435</v>
      </c>
      <c r="C134" s="46" t="str">
        <f>+IF(EstadoSolicitudes[[#This Row],[Aprobado OR]]="Aprobado",EstadoSolicitudes[[#This Row],[Aprobado OR]],
IF(EstadoSolicitudes[[#This Row],[Aprobado OR]]="Cancelado",EstadoSolicitudes[[#This Row],[Aprobado OR]],
IF(EstadoSolicitudes[[#This Row],[Cargue estudio al OR]]&gt;1,"Verificación Técnica",
IF(EstadoSolicitudes[[#This Row],[Fecha solicitud estudio]]&gt;1,"Estudio de conexión",
IF(EstadoSolicitudes[[#This Row],[Insumos revisados]]="No",IF(EstadoSolicitudes[[#This Row],[Fecha entrega insumos OR]]&gt;1,"Evolti","Espera de insumos"),
"Evolti")))))</f>
        <v>Evolti</v>
      </c>
      <c r="D134" s="46" t="s">
        <v>159</v>
      </c>
      <c r="E134" s="152" t="s">
        <v>433</v>
      </c>
      <c r="F134" s="152">
        <v>14695</v>
      </c>
      <c r="G134" s="46" t="s">
        <v>227</v>
      </c>
      <c r="H134" s="46">
        <v>901432582</v>
      </c>
      <c r="I134" s="160" t="s">
        <v>232</v>
      </c>
      <c r="J134" s="48">
        <v>45720</v>
      </c>
      <c r="K134" s="46">
        <v>15486</v>
      </c>
      <c r="L134" s="50" t="s">
        <v>434</v>
      </c>
      <c r="M134" s="48">
        <v>45734</v>
      </c>
      <c r="N134" s="75" t="s">
        <v>210</v>
      </c>
      <c r="P134" s="48" t="s">
        <v>165</v>
      </c>
      <c r="Q134" s="48">
        <v>45870</v>
      </c>
      <c r="R134" s="72"/>
      <c r="S134" s="48"/>
      <c r="T134" s="48" t="s">
        <v>145</v>
      </c>
      <c r="U134" s="48"/>
      <c r="V134" s="48"/>
    </row>
    <row r="135" spans="1:23" hidden="1" x14ac:dyDescent="0.25">
      <c r="A135" s="152">
        <f t="shared" si="9"/>
        <v>129</v>
      </c>
      <c r="B135" s="46" t="s">
        <v>436</v>
      </c>
      <c r="C135" s="46" t="str">
        <f>+IF(EstadoSolicitudes[[#This Row],[Aprobado OR]]="Aprobado",EstadoSolicitudes[[#This Row],[Aprobado OR]],
IF(EstadoSolicitudes[[#This Row],[Aprobado OR]]="Cancelado",EstadoSolicitudes[[#This Row],[Aprobado OR]],
IF(EstadoSolicitudes[[#This Row],[Cargue estudio al OR]]&gt;1,"Verificación Técnica",
IF(EstadoSolicitudes[[#This Row],[Fecha solicitud estudio]]&gt;1,"Estudio de conexión",
IF(EstadoSolicitudes[[#This Row],[Insumos revisados]]="No",IF(EstadoSolicitudes[[#This Row],[Fecha entrega insumos OR]]&gt;1,"Evolti","Espera de insumos"),
"Evolti")))))</f>
        <v>Evolti</v>
      </c>
      <c r="D135" s="46" t="s">
        <v>159</v>
      </c>
      <c r="E135" s="152" t="s">
        <v>433</v>
      </c>
      <c r="F135" s="152">
        <v>14695</v>
      </c>
      <c r="G135" s="46" t="s">
        <v>227</v>
      </c>
      <c r="H135" s="46">
        <v>901432582</v>
      </c>
      <c r="I135" s="56" t="s">
        <v>267</v>
      </c>
      <c r="J135" s="48">
        <v>45720</v>
      </c>
      <c r="K135" s="46">
        <v>15487</v>
      </c>
      <c r="L135" s="50" t="s">
        <v>437</v>
      </c>
      <c r="M135" s="48">
        <v>45734</v>
      </c>
      <c r="N135" s="75" t="s">
        <v>210</v>
      </c>
      <c r="R135" s="72"/>
      <c r="S135" s="48"/>
      <c r="T135" s="48" t="s">
        <v>145</v>
      </c>
      <c r="U135" s="48"/>
      <c r="V135" s="48"/>
    </row>
    <row r="136" spans="1:23" hidden="1" x14ac:dyDescent="0.25">
      <c r="A136" s="152">
        <f t="shared" si="9"/>
        <v>130</v>
      </c>
      <c r="B136" s="46" t="s">
        <v>420</v>
      </c>
      <c r="C136" s="46" t="str">
        <f>+IF(EstadoSolicitudes[[#This Row],[Aprobado OR]]="Aprobado",EstadoSolicitudes[[#This Row],[Aprobado OR]],
IF(EstadoSolicitudes[[#This Row],[Aprobado OR]]="Cancelado",EstadoSolicitudes[[#This Row],[Aprobado OR]],
IF(EstadoSolicitudes[[#This Row],[Cargue estudio al OR]]&gt;1,"Verificación Técnica",
IF(EstadoSolicitudes[[#This Row],[Fecha solicitud estudio]]&gt;1,"Estudio de conexión",
IF(EstadoSolicitudes[[#This Row],[Insumos revisados]]="No",IF(EstadoSolicitudes[[#This Row],[Fecha entrega insumos OR]]&gt;1,"Evolti","Espera de insumos"),
"Evolti")))))</f>
        <v>Espera de insumos</v>
      </c>
      <c r="D136" s="46" t="s">
        <v>155</v>
      </c>
      <c r="G136" s="46" t="s">
        <v>227</v>
      </c>
      <c r="H136" s="46">
        <v>901432582</v>
      </c>
      <c r="I136" s="78" t="s">
        <v>232</v>
      </c>
      <c r="J136" s="48">
        <v>45720</v>
      </c>
      <c r="K136" s="49">
        <v>35139</v>
      </c>
      <c r="L136" s="50"/>
      <c r="M136" s="48"/>
      <c r="N136" s="75" t="s">
        <v>229</v>
      </c>
      <c r="R136" s="72"/>
      <c r="S136" s="48"/>
      <c r="T136" s="48" t="s">
        <v>145</v>
      </c>
      <c r="U136" s="48"/>
      <c r="V136" s="48"/>
    </row>
    <row r="137" spans="1:23" hidden="1" x14ac:dyDescent="0.25">
      <c r="A137" s="152">
        <f t="shared" si="9"/>
        <v>131</v>
      </c>
      <c r="B137" s="46" t="s">
        <v>421</v>
      </c>
      <c r="C137" s="46" t="str">
        <f>+IF(EstadoSolicitudes[[#This Row],[Aprobado OR]]="Aprobado",EstadoSolicitudes[[#This Row],[Aprobado OR]],
IF(EstadoSolicitudes[[#This Row],[Aprobado OR]]="Cancelado",EstadoSolicitudes[[#This Row],[Aprobado OR]],
IF(EstadoSolicitudes[[#This Row],[Cargue estudio al OR]]&gt;1,"Verificación Técnica",
IF(EstadoSolicitudes[[#This Row],[Fecha solicitud estudio]]&gt;1,"Estudio de conexión",
IF(EstadoSolicitudes[[#This Row],[Insumos revisados]]="No",IF(EstadoSolicitudes[[#This Row],[Fecha entrega insumos OR]]&gt;1,"Evolti","Espera de insumos"),
"Evolti")))))</f>
        <v>Espera de insumos</v>
      </c>
      <c r="D137" s="46" t="s">
        <v>155</v>
      </c>
      <c r="G137" s="46" t="s">
        <v>227</v>
      </c>
      <c r="H137" s="46">
        <v>901432582</v>
      </c>
      <c r="I137" s="78" t="s">
        <v>232</v>
      </c>
      <c r="J137" s="48">
        <v>45720</v>
      </c>
      <c r="K137" s="49">
        <v>35140</v>
      </c>
      <c r="L137" s="50"/>
      <c r="M137" s="48"/>
      <c r="N137" s="75" t="s">
        <v>229</v>
      </c>
      <c r="R137" s="72"/>
      <c r="S137" s="48"/>
      <c r="T137" s="48" t="s">
        <v>145</v>
      </c>
      <c r="U137" s="48"/>
      <c r="V137" s="48"/>
    </row>
    <row r="138" spans="1:23" hidden="1" x14ac:dyDescent="0.25">
      <c r="A138" s="152">
        <f t="shared" si="9"/>
        <v>132</v>
      </c>
      <c r="B138" s="46" t="s">
        <v>438</v>
      </c>
      <c r="C138" s="46" t="str">
        <f>+IF(EstadoSolicitudes[[#This Row],[Aprobado OR]]="Aprobado",EstadoSolicitudes[[#This Row],[Aprobado OR]],
IF(EstadoSolicitudes[[#This Row],[Aprobado OR]]="Cancelado",EstadoSolicitudes[[#This Row],[Aprobado OR]],
IF(EstadoSolicitudes[[#This Row],[Cargue estudio al OR]]&gt;1,"Verificación Técnica",
IF(EstadoSolicitudes[[#This Row],[Fecha solicitud estudio]]&gt;1,"Estudio de conexión",
IF(EstadoSolicitudes[[#This Row],[Insumos revisados]]="No",IF(EstadoSolicitudes[[#This Row],[Fecha entrega insumos OR]]&gt;1,"Evolti","Espera de insumos"),
"Evolti")))))</f>
        <v>Espera de insumos</v>
      </c>
      <c r="D138" s="46" t="s">
        <v>151</v>
      </c>
      <c r="G138" s="46" t="s">
        <v>227</v>
      </c>
      <c r="H138" s="46">
        <v>901432582</v>
      </c>
      <c r="I138" s="78" t="s">
        <v>232</v>
      </c>
      <c r="J138" s="48">
        <v>45720</v>
      </c>
      <c r="K138" s="49">
        <v>11316719</v>
      </c>
      <c r="L138" s="50"/>
      <c r="N138" s="75" t="s">
        <v>229</v>
      </c>
      <c r="R138" s="72"/>
      <c r="S138" s="48"/>
      <c r="T138" s="48" t="s">
        <v>145</v>
      </c>
      <c r="U138" s="48"/>
      <c r="V138" s="48"/>
    </row>
    <row r="139" spans="1:23" hidden="1" x14ac:dyDescent="0.25">
      <c r="A139" s="152">
        <f t="shared" si="9"/>
        <v>133</v>
      </c>
      <c r="B139" s="46" t="s">
        <v>439</v>
      </c>
      <c r="C139" s="46" t="str">
        <f>+IF(EstadoSolicitudes[[#This Row],[Aprobado OR]]="Aprobado",EstadoSolicitudes[[#This Row],[Aprobado OR]],
IF(EstadoSolicitudes[[#This Row],[Aprobado OR]]="Cancelado",EstadoSolicitudes[[#This Row],[Aprobado OR]],
IF(EstadoSolicitudes[[#This Row],[Cargue estudio al OR]]&gt;1,"Verificación Técnica",
IF(EstadoSolicitudes[[#This Row],[Fecha solicitud estudio]]&gt;1,"Estudio de conexión",
IF(EstadoSolicitudes[[#This Row],[Insumos revisados]]="No",IF(EstadoSolicitudes[[#This Row],[Fecha entrega insumos OR]]&gt;1,"Evolti","Espera de insumos"),
"Evolti")))))</f>
        <v>Evolti</v>
      </c>
      <c r="D139" s="46" t="s">
        <v>151</v>
      </c>
      <c r="G139" s="46" t="s">
        <v>227</v>
      </c>
      <c r="H139" s="46">
        <v>901432582</v>
      </c>
      <c r="I139" s="78" t="s">
        <v>232</v>
      </c>
      <c r="J139" s="48">
        <v>45720</v>
      </c>
      <c r="K139" s="49">
        <v>11316810</v>
      </c>
      <c r="L139" s="50"/>
      <c r="M139" s="48">
        <v>45728</v>
      </c>
      <c r="N139" s="75" t="s">
        <v>229</v>
      </c>
      <c r="R139" s="72"/>
      <c r="S139" s="48"/>
      <c r="T139" s="48" t="s">
        <v>145</v>
      </c>
      <c r="U139" s="48"/>
      <c r="V139" s="48"/>
      <c r="W139" s="48" t="s">
        <v>286</v>
      </c>
    </row>
    <row r="140" spans="1:23" hidden="1" x14ac:dyDescent="0.25">
      <c r="A140" s="152">
        <f t="shared" si="9"/>
        <v>134</v>
      </c>
      <c r="B140" s="46" t="s">
        <v>440</v>
      </c>
      <c r="C140" s="46" t="str">
        <f>+IF(EstadoSolicitudes[[#This Row],[Aprobado OR]]="Aprobado",EstadoSolicitudes[[#This Row],[Aprobado OR]],
IF(EstadoSolicitudes[[#This Row],[Aprobado OR]]="Cancelado",EstadoSolicitudes[[#This Row],[Aprobado OR]],
IF(EstadoSolicitudes[[#This Row],[Cargue estudio al OR]]&gt;1,"Verificación Técnica",
IF(EstadoSolicitudes[[#This Row],[Fecha solicitud estudio]]&gt;1,"Estudio de conexión",
IF(EstadoSolicitudes[[#This Row],[Insumos revisados]]="No",IF(EstadoSolicitudes[[#This Row],[Fecha entrega insumos OR]]&gt;1,"Evolti","Espera de insumos"),
"Evolti")))))</f>
        <v>Evolti</v>
      </c>
      <c r="D140" s="46" t="s">
        <v>151</v>
      </c>
      <c r="G140" s="46" t="s">
        <v>227</v>
      </c>
      <c r="H140" s="46">
        <v>901432582</v>
      </c>
      <c r="I140" s="78" t="s">
        <v>232</v>
      </c>
      <c r="J140" s="48">
        <v>45720</v>
      </c>
      <c r="K140" s="49">
        <v>11316814</v>
      </c>
      <c r="L140" s="50"/>
      <c r="M140" s="48">
        <v>45728</v>
      </c>
      <c r="N140" s="75" t="s">
        <v>229</v>
      </c>
      <c r="R140" s="72"/>
      <c r="S140" s="48"/>
      <c r="T140" s="48" t="s">
        <v>145</v>
      </c>
      <c r="U140" s="48"/>
      <c r="V140" s="48"/>
      <c r="W140" s="48" t="s">
        <v>286</v>
      </c>
    </row>
    <row r="141" spans="1:23" hidden="1" x14ac:dyDescent="0.25">
      <c r="A141" s="152">
        <f t="shared" si="9"/>
        <v>135</v>
      </c>
      <c r="B141" s="46" t="s">
        <v>441</v>
      </c>
      <c r="C141" s="46" t="str">
        <f>+IF(EstadoSolicitudes[[#This Row],[Aprobado OR]]="Aprobado",EstadoSolicitudes[[#This Row],[Aprobado OR]],
IF(EstadoSolicitudes[[#This Row],[Aprobado OR]]="Cancelado",EstadoSolicitudes[[#This Row],[Aprobado OR]],
IF(EstadoSolicitudes[[#This Row],[Cargue estudio al OR]]&gt;1,"Verificación Técnica",
IF(EstadoSolicitudes[[#This Row],[Fecha solicitud estudio]]&gt;1,"Estudio de conexión",
IF(EstadoSolicitudes[[#This Row],[Insumos revisados]]="No",IF(EstadoSolicitudes[[#This Row],[Fecha entrega insumos OR]]&gt;1,"Evolti","Espera de insumos"),
"Evolti")))))</f>
        <v>Evolti</v>
      </c>
      <c r="D141" s="46" t="s">
        <v>151</v>
      </c>
      <c r="G141" s="46" t="s">
        <v>227</v>
      </c>
      <c r="H141" s="46">
        <v>901432582</v>
      </c>
      <c r="I141" s="78" t="s">
        <v>232</v>
      </c>
      <c r="J141" s="48">
        <v>45720</v>
      </c>
      <c r="K141" s="49">
        <v>11316817</v>
      </c>
      <c r="L141" s="50"/>
      <c r="M141" s="48">
        <v>45728</v>
      </c>
      <c r="N141" s="75" t="s">
        <v>229</v>
      </c>
      <c r="R141" s="72"/>
      <c r="S141" s="48"/>
      <c r="T141" s="48" t="s">
        <v>145</v>
      </c>
      <c r="U141" s="48"/>
      <c r="V141" s="48"/>
      <c r="W141" s="48" t="s">
        <v>286</v>
      </c>
    </row>
    <row r="142" spans="1:23" hidden="1" x14ac:dyDescent="0.25">
      <c r="A142" s="152">
        <f t="shared" si="9"/>
        <v>136</v>
      </c>
      <c r="B142" s="46" t="s">
        <v>442</v>
      </c>
      <c r="C142" s="46" t="str">
        <f>+IF(EstadoSolicitudes[[#This Row],[Aprobado OR]]="Aprobado",EstadoSolicitudes[[#This Row],[Aprobado OR]],
IF(EstadoSolicitudes[[#This Row],[Aprobado OR]]="Cancelado",EstadoSolicitudes[[#This Row],[Aprobado OR]],
IF(EstadoSolicitudes[[#This Row],[Cargue estudio al OR]]&gt;1,"Verificación Técnica",
IF(EstadoSolicitudes[[#This Row],[Fecha solicitud estudio]]&gt;1,"Estudio de conexión",
IF(EstadoSolicitudes[[#This Row],[Insumos revisados]]="No",IF(EstadoSolicitudes[[#This Row],[Fecha entrega insumos OR]]&gt;1,"Evolti","Espera de insumos"),
"Evolti")))))</f>
        <v>Espera de insumos</v>
      </c>
      <c r="D142" s="46" t="s">
        <v>155</v>
      </c>
      <c r="G142" s="46" t="s">
        <v>227</v>
      </c>
      <c r="H142" s="46">
        <v>901432582</v>
      </c>
      <c r="I142" s="78" t="s">
        <v>232</v>
      </c>
      <c r="J142" s="48">
        <v>45723</v>
      </c>
      <c r="K142" s="49">
        <v>35254</v>
      </c>
      <c r="L142" s="50"/>
      <c r="M142" s="48"/>
      <c r="N142" s="75" t="s">
        <v>229</v>
      </c>
      <c r="R142" s="72"/>
      <c r="S142" s="48"/>
      <c r="T142" s="48" t="s">
        <v>145</v>
      </c>
      <c r="U142" s="48"/>
      <c r="V142" s="48"/>
    </row>
    <row r="143" spans="1:23" hidden="1" x14ac:dyDescent="0.25">
      <c r="A143" s="152">
        <f t="shared" si="9"/>
        <v>137</v>
      </c>
      <c r="B143" s="135" t="s">
        <v>443</v>
      </c>
      <c r="C143" s="46" t="str">
        <f>+IF(EstadoSolicitudes[[#This Row],[Aprobado OR]]="Aprobado",EstadoSolicitudes[[#This Row],[Aprobado OR]],
IF(EstadoSolicitudes[[#This Row],[Aprobado OR]]="Cancelado",EstadoSolicitudes[[#This Row],[Aprobado OR]],
IF(EstadoSolicitudes[[#This Row],[Cargue estudio al OR]]&gt;1,"Verificación Técnica",
IF(EstadoSolicitudes[[#This Row],[Fecha solicitud estudio]]&gt;1,"Estudio de conexión",
IF(EstadoSolicitudes[[#This Row],[Insumos revisados]]="No",IF(EstadoSolicitudes[[#This Row],[Fecha entrega insumos OR]]&gt;1,"Evolti","Espera de insumos"),
"Evolti")))))</f>
        <v>Espera de insumos</v>
      </c>
      <c r="D143" s="135" t="s">
        <v>155</v>
      </c>
      <c r="E143" s="234"/>
      <c r="F143" s="234"/>
      <c r="G143" s="135" t="s">
        <v>227</v>
      </c>
      <c r="H143" s="135">
        <v>901432582</v>
      </c>
      <c r="I143" s="136" t="s">
        <v>232</v>
      </c>
      <c r="J143" s="48">
        <v>45723</v>
      </c>
      <c r="K143" s="49">
        <v>35256</v>
      </c>
      <c r="L143" s="50"/>
      <c r="M143" s="48"/>
      <c r="N143" s="75" t="s">
        <v>229</v>
      </c>
      <c r="R143" s="72"/>
      <c r="S143" s="48"/>
      <c r="T143" s="48" t="s">
        <v>145</v>
      </c>
      <c r="U143" s="48"/>
      <c r="V143" s="48"/>
    </row>
    <row r="144" spans="1:23" hidden="1" x14ac:dyDescent="0.25">
      <c r="A144" s="152">
        <f t="shared" si="9"/>
        <v>138</v>
      </c>
      <c r="B144" s="135" t="s">
        <v>444</v>
      </c>
      <c r="C144" s="46" t="str">
        <f>+IF(EstadoSolicitudes[[#This Row],[Aprobado OR]]="Aprobado",EstadoSolicitudes[[#This Row],[Aprobado OR]],
IF(EstadoSolicitudes[[#This Row],[Aprobado OR]]="Cancelado",EstadoSolicitudes[[#This Row],[Aprobado OR]],
IF(EstadoSolicitudes[[#This Row],[Cargue estudio al OR]]&gt;1,"Verificación Técnica",
IF(EstadoSolicitudes[[#This Row],[Fecha solicitud estudio]]&gt;1,"Estudio de conexión",
IF(EstadoSolicitudes[[#This Row],[Insumos revisados]]="No",IF(EstadoSolicitudes[[#This Row],[Fecha entrega insumos OR]]&gt;1,"Evolti","Espera de insumos"),
"Evolti")))))</f>
        <v>Espera de insumos</v>
      </c>
      <c r="D144" s="135" t="s">
        <v>155</v>
      </c>
      <c r="E144" s="234"/>
      <c r="F144" s="234"/>
      <c r="G144" s="135" t="s">
        <v>227</v>
      </c>
      <c r="H144" s="135">
        <v>901432582</v>
      </c>
      <c r="I144" s="136" t="s">
        <v>232</v>
      </c>
      <c r="J144" s="48">
        <v>45723</v>
      </c>
      <c r="K144" s="49">
        <v>35257</v>
      </c>
      <c r="L144" s="50"/>
      <c r="M144" s="48"/>
      <c r="N144" s="75" t="s">
        <v>229</v>
      </c>
      <c r="R144" s="72"/>
      <c r="S144" s="48"/>
      <c r="T144" s="48" t="s">
        <v>145</v>
      </c>
      <c r="U144" s="48"/>
      <c r="V144" s="48"/>
    </row>
    <row r="145" spans="1:23" hidden="1" x14ac:dyDescent="0.25">
      <c r="A145" s="152">
        <f t="shared" si="9"/>
        <v>139</v>
      </c>
      <c r="B145" s="46" t="s">
        <v>445</v>
      </c>
      <c r="C145" s="46" t="str">
        <f>+IF(EstadoSolicitudes[[#This Row],[Aprobado OR]]="Aprobado",EstadoSolicitudes[[#This Row],[Aprobado OR]],
IF(EstadoSolicitudes[[#This Row],[Aprobado OR]]="Cancelado",EstadoSolicitudes[[#This Row],[Aprobado OR]],
IF(EstadoSolicitudes[[#This Row],[Cargue estudio al OR]]&gt;1,"Verificación Técnica",
IF(EstadoSolicitudes[[#This Row],[Fecha solicitud estudio]]&gt;1,"Estudio de conexión",
IF(EstadoSolicitudes[[#This Row],[Insumos revisados]]="No",IF(EstadoSolicitudes[[#This Row],[Fecha entrega insumos OR]]&gt;1,"Evolti","Espera de insumos"),
"Evolti")))))</f>
        <v>Espera de insumos</v>
      </c>
      <c r="D145" s="46" t="s">
        <v>155</v>
      </c>
      <c r="G145" s="135" t="s">
        <v>227</v>
      </c>
      <c r="H145" s="135">
        <v>901432582</v>
      </c>
      <c r="I145" s="136" t="s">
        <v>232</v>
      </c>
      <c r="J145" s="48">
        <v>45728</v>
      </c>
      <c r="K145" s="49">
        <v>35437</v>
      </c>
      <c r="L145" s="50"/>
      <c r="M145" s="48"/>
      <c r="N145" s="75" t="s">
        <v>229</v>
      </c>
      <c r="R145" s="72"/>
      <c r="S145" s="48"/>
      <c r="T145" s="48" t="s">
        <v>145</v>
      </c>
      <c r="U145" s="48"/>
      <c r="V145" s="48"/>
    </row>
    <row r="146" spans="1:23" hidden="1" x14ac:dyDescent="0.25">
      <c r="A146" s="152">
        <f t="shared" si="9"/>
        <v>140</v>
      </c>
      <c r="B146" s="46" t="s">
        <v>446</v>
      </c>
      <c r="C146" s="46" t="str">
        <f>+IF(EstadoSolicitudes[[#This Row],[Aprobado OR]]="Aprobado",EstadoSolicitudes[[#This Row],[Aprobado OR]],
IF(EstadoSolicitudes[[#This Row],[Aprobado OR]]="Cancelado",EstadoSolicitudes[[#This Row],[Aprobado OR]],
IF(EstadoSolicitudes[[#This Row],[Cargue estudio al OR]]&gt;1,"Verificación Técnica",
IF(EstadoSolicitudes[[#This Row],[Fecha solicitud estudio]]&gt;1,"Estudio de conexión",
IF(EstadoSolicitudes[[#This Row],[Insumos revisados]]="No",IF(EstadoSolicitudes[[#This Row],[Fecha entrega insumos OR]]&gt;1,"Evolti","Espera de insumos"),
"Evolti")))))</f>
        <v>Espera de insumos</v>
      </c>
      <c r="D146" s="46" t="s">
        <v>155</v>
      </c>
      <c r="G146" s="135" t="s">
        <v>227</v>
      </c>
      <c r="H146" s="135">
        <v>901432582</v>
      </c>
      <c r="I146" s="136" t="s">
        <v>232</v>
      </c>
      <c r="J146" s="48">
        <v>45728</v>
      </c>
      <c r="K146" s="49">
        <v>35438</v>
      </c>
      <c r="L146" s="50"/>
      <c r="M146" s="48"/>
      <c r="N146" s="75" t="s">
        <v>229</v>
      </c>
      <c r="R146" s="72"/>
      <c r="S146" s="48"/>
      <c r="T146" s="48" t="s">
        <v>145</v>
      </c>
      <c r="U146" s="48"/>
      <c r="V146" s="48"/>
    </row>
    <row r="147" spans="1:23" hidden="1" x14ac:dyDescent="0.25">
      <c r="A147" s="152">
        <f t="shared" si="9"/>
        <v>141</v>
      </c>
      <c r="B147" s="46" t="s">
        <v>447</v>
      </c>
      <c r="C147" s="46" t="str">
        <f>+IF(EstadoSolicitudes[[#This Row],[Aprobado OR]]="Aprobado",EstadoSolicitudes[[#This Row],[Aprobado OR]],
IF(EstadoSolicitudes[[#This Row],[Aprobado OR]]="Cancelado",EstadoSolicitudes[[#This Row],[Aprobado OR]],
IF(EstadoSolicitudes[[#This Row],[Cargue estudio al OR]]&gt;1,"Verificación Técnica",
IF(EstadoSolicitudes[[#This Row],[Fecha solicitud estudio]]&gt;1,"Estudio de conexión",
IF(EstadoSolicitudes[[#This Row],[Insumos revisados]]="No",IF(EstadoSolicitudes[[#This Row],[Fecha entrega insumos OR]]&gt;1,"Evolti","Espera de insumos"),
"Evolti")))))</f>
        <v>Espera de insumos</v>
      </c>
      <c r="D147" s="46" t="s">
        <v>155</v>
      </c>
      <c r="G147" s="135" t="s">
        <v>227</v>
      </c>
      <c r="H147" s="135">
        <v>901432582</v>
      </c>
      <c r="I147" s="136" t="s">
        <v>232</v>
      </c>
      <c r="J147" s="48">
        <v>45728</v>
      </c>
      <c r="K147" s="49">
        <v>35439</v>
      </c>
      <c r="L147" s="50"/>
      <c r="M147" s="48"/>
      <c r="N147" s="75" t="s">
        <v>229</v>
      </c>
      <c r="R147" s="72"/>
      <c r="S147" s="48"/>
      <c r="T147" s="48" t="s">
        <v>145</v>
      </c>
      <c r="U147" s="48"/>
      <c r="V147" s="48"/>
    </row>
    <row r="148" spans="1:23" hidden="1" x14ac:dyDescent="0.25">
      <c r="A148" s="152">
        <f t="shared" si="9"/>
        <v>142</v>
      </c>
      <c r="B148" s="46" t="s">
        <v>448</v>
      </c>
      <c r="C148" s="46" t="str">
        <f>+IF(EstadoSolicitudes[[#This Row],[Aprobado OR]]="Aprobado",EstadoSolicitudes[[#This Row],[Aprobado OR]],
IF(EstadoSolicitudes[[#This Row],[Aprobado OR]]="Cancelado",EstadoSolicitudes[[#This Row],[Aprobado OR]],
IF(EstadoSolicitudes[[#This Row],[Cargue estudio al OR]]&gt;1,"Verificación Técnica",
IF(EstadoSolicitudes[[#This Row],[Fecha solicitud estudio]]&gt;1,"Estudio de conexión",
IF(EstadoSolicitudes[[#This Row],[Insumos revisados]]="No",IF(EstadoSolicitudes[[#This Row],[Fecha entrega insumos OR]]&gt;1,"Evolti","Espera de insumos"),
"Evolti")))))</f>
        <v>Espera de insumos</v>
      </c>
      <c r="D148" s="135" t="s">
        <v>151</v>
      </c>
      <c r="E148" s="234"/>
      <c r="F148" s="234"/>
      <c r="G148" s="135" t="s">
        <v>227</v>
      </c>
      <c r="H148" s="135">
        <v>901432582</v>
      </c>
      <c r="I148" s="136" t="s">
        <v>232</v>
      </c>
      <c r="J148" s="48">
        <v>45728</v>
      </c>
      <c r="K148" s="46">
        <v>11481173</v>
      </c>
      <c r="L148" s="50"/>
      <c r="M148" s="48"/>
      <c r="N148" s="75" t="s">
        <v>229</v>
      </c>
      <c r="R148" s="72"/>
      <c r="S148" s="48"/>
      <c r="T148" s="48" t="s">
        <v>145</v>
      </c>
      <c r="U148" s="48"/>
      <c r="V148" s="48"/>
    </row>
    <row r="149" spans="1:23" hidden="1" x14ac:dyDescent="0.25">
      <c r="A149" s="152">
        <f t="shared" si="9"/>
        <v>143</v>
      </c>
      <c r="B149" s="46" t="s">
        <v>449</v>
      </c>
      <c r="C149" s="46" t="str">
        <f>+IF(EstadoSolicitudes[[#This Row],[Aprobado OR]]="Aprobado",EstadoSolicitudes[[#This Row],[Aprobado OR]],
IF(EstadoSolicitudes[[#This Row],[Aprobado OR]]="Cancelado",EstadoSolicitudes[[#This Row],[Aprobado OR]],
IF(EstadoSolicitudes[[#This Row],[Cargue estudio al OR]]&gt;1,"Verificación Técnica",
IF(EstadoSolicitudes[[#This Row],[Fecha solicitud estudio]]&gt;1,"Estudio de conexión",
IF(EstadoSolicitudes[[#This Row],[Insumos revisados]]="No",IF(EstadoSolicitudes[[#This Row],[Fecha entrega insumos OR]]&gt;1,"Evolti","Espera de insumos"),
"Evolti")))))</f>
        <v>Espera de insumos</v>
      </c>
      <c r="D149" s="46" t="s">
        <v>151</v>
      </c>
      <c r="G149" s="135" t="s">
        <v>227</v>
      </c>
      <c r="H149" s="135">
        <v>901432582</v>
      </c>
      <c r="I149" s="136" t="s">
        <v>232</v>
      </c>
      <c r="J149" s="48">
        <v>45728</v>
      </c>
      <c r="K149" s="46">
        <v>11481215</v>
      </c>
      <c r="L149" s="50"/>
      <c r="M149" s="48"/>
      <c r="N149" s="75" t="s">
        <v>229</v>
      </c>
      <c r="R149" s="72"/>
      <c r="S149" s="48"/>
      <c r="T149" s="48" t="s">
        <v>145</v>
      </c>
      <c r="U149" s="48"/>
      <c r="V149" s="48"/>
    </row>
    <row r="150" spans="1:23" hidden="1" x14ac:dyDescent="0.25">
      <c r="A150" s="152">
        <f t="shared" si="9"/>
        <v>144</v>
      </c>
      <c r="B150" s="46" t="s">
        <v>450</v>
      </c>
      <c r="C150" s="46" t="str">
        <f>+IF(EstadoSolicitudes[[#This Row],[Aprobado OR]]="Aprobado",EstadoSolicitudes[[#This Row],[Aprobado OR]],
IF(EstadoSolicitudes[[#This Row],[Aprobado OR]]="Cancelado",EstadoSolicitudes[[#This Row],[Aprobado OR]],
IF(EstadoSolicitudes[[#This Row],[Cargue estudio al OR]]&gt;1,"Verificación Técnica",
IF(EstadoSolicitudes[[#This Row],[Fecha solicitud estudio]]&gt;1,"Estudio de conexión",
IF(EstadoSolicitudes[[#This Row],[Insumos revisados]]="No",IF(EstadoSolicitudes[[#This Row],[Fecha entrega insumos OR]]&gt;1,"Evolti","Espera de insumos"),
"Evolti")))))</f>
        <v>Espera de insumos</v>
      </c>
      <c r="D150" s="46" t="s">
        <v>151</v>
      </c>
      <c r="G150" s="135" t="s">
        <v>227</v>
      </c>
      <c r="H150" s="135">
        <v>901432582</v>
      </c>
      <c r="I150" s="136" t="s">
        <v>232</v>
      </c>
      <c r="J150" s="48">
        <v>45728</v>
      </c>
      <c r="K150" s="46">
        <v>11481231</v>
      </c>
      <c r="L150" s="50"/>
      <c r="M150" s="48"/>
      <c r="N150" s="75" t="s">
        <v>229</v>
      </c>
      <c r="R150" s="72"/>
      <c r="S150" s="48"/>
      <c r="T150" s="48" t="s">
        <v>145</v>
      </c>
      <c r="U150" s="48"/>
      <c r="V150" s="48"/>
    </row>
    <row r="151" spans="1:23" hidden="1" x14ac:dyDescent="0.25">
      <c r="A151" s="152">
        <f t="shared" ref="A151:A153" si="10">+A150+1</f>
        <v>145</v>
      </c>
      <c r="B151" s="46" t="s">
        <v>451</v>
      </c>
      <c r="C151" s="46" t="str">
        <f>+IF(EstadoSolicitudes[[#This Row],[Aprobado OR]]="Aprobado",EstadoSolicitudes[[#This Row],[Aprobado OR]],
IF(EstadoSolicitudes[[#This Row],[Aprobado OR]]="Cancelado",EstadoSolicitudes[[#This Row],[Aprobado OR]],
IF(EstadoSolicitudes[[#This Row],[Cargue estudio al OR]]&gt;1,"Verificación Técnica",
IF(EstadoSolicitudes[[#This Row],[Fecha solicitud estudio]]&gt;1,"Estudio de conexión",
IF(EstadoSolicitudes[[#This Row],[Insumos revisados]]="No",IF(EstadoSolicitudes[[#This Row],[Fecha entrega insumos OR]]&gt;1,"Evolti","Espera de insumos"),
"Evolti")))))</f>
        <v>Evolti</v>
      </c>
      <c r="D151" s="46" t="s">
        <v>154</v>
      </c>
      <c r="E151" s="152" t="s">
        <v>452</v>
      </c>
      <c r="F151" s="152">
        <v>21581178</v>
      </c>
      <c r="G151" s="135" t="s">
        <v>227</v>
      </c>
      <c r="H151" s="135">
        <v>901432583</v>
      </c>
      <c r="I151" s="136" t="s">
        <v>232</v>
      </c>
      <c r="J151" s="48">
        <v>45730</v>
      </c>
      <c r="K151" s="49">
        <v>23182</v>
      </c>
      <c r="L151" s="50"/>
      <c r="M151" s="50" t="s">
        <v>453</v>
      </c>
      <c r="N151" s="75" t="s">
        <v>210</v>
      </c>
      <c r="R151" s="72"/>
      <c r="S151" s="48"/>
      <c r="T151" s="48" t="s">
        <v>145</v>
      </c>
      <c r="U151" s="48"/>
      <c r="V151" s="48"/>
      <c r="W151" s="48" t="s">
        <v>454</v>
      </c>
    </row>
    <row r="152" spans="1:23" hidden="1" x14ac:dyDescent="0.25">
      <c r="A152" s="152">
        <f t="shared" si="10"/>
        <v>146</v>
      </c>
      <c r="B152" s="46" t="s">
        <v>455</v>
      </c>
      <c r="C152" s="46" t="str">
        <f>+IF(EstadoSolicitudes[[#This Row],[Aprobado OR]]="Aprobado",EstadoSolicitudes[[#This Row],[Aprobado OR]],
IF(EstadoSolicitudes[[#This Row],[Aprobado OR]]="Cancelado",EstadoSolicitudes[[#This Row],[Aprobado OR]],
IF(EstadoSolicitudes[[#This Row],[Cargue estudio al OR]]&gt;1,"Verificación Técnica",
IF(EstadoSolicitudes[[#This Row],[Fecha solicitud estudio]]&gt;1,"Estudio de conexión",
IF(EstadoSolicitudes[[#This Row],[Insumos revisados]]="No",IF(EstadoSolicitudes[[#This Row],[Fecha entrega insumos OR]]&gt;1,"Evolti","Espera de insumos"),
"Evolti")))))</f>
        <v>Evolti</v>
      </c>
      <c r="D152" s="46" t="s">
        <v>154</v>
      </c>
      <c r="E152" s="152" t="s">
        <v>452</v>
      </c>
      <c r="F152" s="152">
        <v>21581178</v>
      </c>
      <c r="G152" s="135" t="s">
        <v>227</v>
      </c>
      <c r="H152" s="135">
        <v>901432584</v>
      </c>
      <c r="I152" s="136" t="s">
        <v>232</v>
      </c>
      <c r="J152" s="48">
        <v>45730</v>
      </c>
      <c r="K152" s="49">
        <v>23183</v>
      </c>
      <c r="L152" s="50"/>
      <c r="M152" s="50" t="s">
        <v>456</v>
      </c>
      <c r="N152" s="75" t="s">
        <v>210</v>
      </c>
      <c r="R152" s="72"/>
      <c r="S152" s="48"/>
      <c r="T152" s="48" t="s">
        <v>145</v>
      </c>
      <c r="U152" s="48"/>
      <c r="V152" s="48"/>
      <c r="W152" s="48" t="s">
        <v>454</v>
      </c>
    </row>
    <row r="153" spans="1:23" hidden="1" x14ac:dyDescent="0.25">
      <c r="A153" s="152">
        <f t="shared" si="10"/>
        <v>147</v>
      </c>
      <c r="B153" s="46" t="s">
        <v>457</v>
      </c>
      <c r="C153" s="46" t="str">
        <f>+IF(EstadoSolicitudes[[#This Row],[Aprobado OR]]="Aprobado",EstadoSolicitudes[[#This Row],[Aprobado OR]],
IF(EstadoSolicitudes[[#This Row],[Aprobado OR]]="Cancelado",EstadoSolicitudes[[#This Row],[Aprobado OR]],
IF(EstadoSolicitudes[[#This Row],[Cargue estudio al OR]]&gt;1,"Verificación Técnica",
IF(EstadoSolicitudes[[#This Row],[Fecha solicitud estudio]]&gt;1,"Estudio de conexión",
IF(EstadoSolicitudes[[#This Row],[Insumos revisados]]="No",IF(EstadoSolicitudes[[#This Row],[Fecha entrega insumos OR]]&gt;1,"Evolti","Espera de insumos"),
"Evolti")))))</f>
        <v>Evolti</v>
      </c>
      <c r="D153" s="46" t="s">
        <v>154</v>
      </c>
      <c r="E153" s="152" t="s">
        <v>452</v>
      </c>
      <c r="F153" s="152">
        <v>21581178</v>
      </c>
      <c r="G153" s="135" t="s">
        <v>227</v>
      </c>
      <c r="H153" s="135">
        <v>901432585</v>
      </c>
      <c r="I153" s="136" t="s">
        <v>232</v>
      </c>
      <c r="J153" s="48">
        <v>45730</v>
      </c>
      <c r="K153" s="49">
        <v>23184</v>
      </c>
      <c r="L153" s="50"/>
      <c r="M153" s="50" t="s">
        <v>453</v>
      </c>
      <c r="N153" s="75" t="s">
        <v>210</v>
      </c>
      <c r="R153" s="72"/>
      <c r="S153" s="48"/>
      <c r="T153" s="48" t="s">
        <v>145</v>
      </c>
      <c r="U153" s="48"/>
      <c r="V153" s="48"/>
      <c r="W153" s="48" t="s">
        <v>454</v>
      </c>
    </row>
    <row r="154" spans="1:23" ht="13.5" hidden="1" customHeight="1" x14ac:dyDescent="0.25">
      <c r="A154" s="152">
        <f>+A153+1</f>
        <v>148</v>
      </c>
      <c r="B154" s="46" t="s">
        <v>458</v>
      </c>
      <c r="C154" s="46" t="s">
        <v>144</v>
      </c>
      <c r="D154" s="46" t="s">
        <v>151</v>
      </c>
      <c r="G154" s="135" t="s">
        <v>227</v>
      </c>
      <c r="H154" s="135">
        <v>901432585</v>
      </c>
      <c r="I154" s="136" t="s">
        <v>232</v>
      </c>
      <c r="J154" s="48">
        <v>45730</v>
      </c>
      <c r="K154" s="46">
        <v>11498747</v>
      </c>
      <c r="L154" s="50"/>
      <c r="N154" s="75" t="s">
        <v>229</v>
      </c>
      <c r="R154" s="72"/>
      <c r="S154" s="48"/>
      <c r="T154" s="48" t="s">
        <v>145</v>
      </c>
      <c r="U154" s="48"/>
      <c r="V154" s="48"/>
    </row>
    <row r="155" spans="1:23" hidden="1" x14ac:dyDescent="0.25">
      <c r="A155" s="152">
        <f t="shared" ref="A155:A220" si="11">+A154+1</f>
        <v>149</v>
      </c>
      <c r="B155" s="46" t="s">
        <v>459</v>
      </c>
      <c r="C155" s="46" t="s">
        <v>144</v>
      </c>
      <c r="D155" s="46" t="s">
        <v>151</v>
      </c>
      <c r="G155" s="135" t="s">
        <v>227</v>
      </c>
      <c r="H155" s="135">
        <v>901432585</v>
      </c>
      <c r="I155" s="136" t="s">
        <v>232</v>
      </c>
      <c r="J155" s="48">
        <v>45730</v>
      </c>
      <c r="K155" s="46">
        <v>11500182</v>
      </c>
      <c r="L155" s="50"/>
      <c r="N155" s="75" t="s">
        <v>229</v>
      </c>
      <c r="R155" s="72"/>
      <c r="S155" s="48"/>
      <c r="T155" s="48" t="s">
        <v>145</v>
      </c>
      <c r="U155" s="48"/>
      <c r="V155" s="48"/>
    </row>
    <row r="156" spans="1:23" hidden="1" x14ac:dyDescent="0.25">
      <c r="A156" s="152">
        <f t="shared" si="11"/>
        <v>150</v>
      </c>
      <c r="B156" s="46" t="s">
        <v>460</v>
      </c>
      <c r="C156" s="46" t="s">
        <v>144</v>
      </c>
      <c r="D156" s="46" t="s">
        <v>151</v>
      </c>
      <c r="G156" s="135" t="s">
        <v>227</v>
      </c>
      <c r="H156" s="135">
        <v>901432585</v>
      </c>
      <c r="I156" s="136" t="s">
        <v>232</v>
      </c>
      <c r="J156" s="48">
        <v>45730</v>
      </c>
      <c r="K156" s="49">
        <v>11500190</v>
      </c>
      <c r="L156" s="50"/>
      <c r="N156" s="75" t="s">
        <v>229</v>
      </c>
      <c r="R156" s="72"/>
      <c r="S156" s="48"/>
      <c r="T156" s="48" t="s">
        <v>145</v>
      </c>
      <c r="U156" s="48"/>
      <c r="V156" s="48"/>
    </row>
    <row r="157" spans="1:23" ht="13.5" hidden="1" customHeight="1" x14ac:dyDescent="0.25">
      <c r="A157" s="152">
        <f t="shared" si="11"/>
        <v>151</v>
      </c>
      <c r="B157" s="46" t="s">
        <v>461</v>
      </c>
      <c r="C157" s="46" t="s">
        <v>144</v>
      </c>
      <c r="D157" s="46" t="s">
        <v>151</v>
      </c>
      <c r="G157" s="135" t="s">
        <v>227</v>
      </c>
      <c r="H157" s="135">
        <v>901432585</v>
      </c>
      <c r="I157" s="136" t="s">
        <v>232</v>
      </c>
      <c r="J157" s="48">
        <v>45754</v>
      </c>
      <c r="K157" s="49"/>
      <c r="L157" s="50"/>
      <c r="M157" s="48">
        <v>45763</v>
      </c>
      <c r="N157" s="75" t="s">
        <v>210</v>
      </c>
      <c r="R157" s="72"/>
      <c r="S157" s="48"/>
      <c r="T157" s="48" t="s">
        <v>145</v>
      </c>
      <c r="U157" s="48"/>
      <c r="V157" s="48"/>
      <c r="W157" s="48" t="s">
        <v>462</v>
      </c>
    </row>
    <row r="158" spans="1:23" hidden="1" x14ac:dyDescent="0.25">
      <c r="A158" s="152">
        <f t="shared" si="11"/>
        <v>152</v>
      </c>
      <c r="B158" s="46" t="s">
        <v>463</v>
      </c>
      <c r="C158" s="46" t="s">
        <v>144</v>
      </c>
      <c r="D158" s="46" t="s">
        <v>151</v>
      </c>
      <c r="G158" s="135" t="s">
        <v>227</v>
      </c>
      <c r="H158" s="135">
        <v>901432585</v>
      </c>
      <c r="I158" s="136" t="s">
        <v>232</v>
      </c>
      <c r="J158" s="48">
        <v>45754</v>
      </c>
      <c r="K158" s="49"/>
      <c r="L158" s="50"/>
      <c r="M158" s="48">
        <v>45763</v>
      </c>
      <c r="N158" s="75" t="s">
        <v>210</v>
      </c>
      <c r="R158" s="72"/>
      <c r="S158" s="48"/>
      <c r="T158" s="48" t="s">
        <v>145</v>
      </c>
      <c r="U158" s="48"/>
      <c r="V158" s="48"/>
      <c r="W158" s="48" t="s">
        <v>462</v>
      </c>
    </row>
    <row r="159" spans="1:23" hidden="1" x14ac:dyDescent="0.25">
      <c r="A159" s="152">
        <f t="shared" si="11"/>
        <v>153</v>
      </c>
      <c r="B159" s="46" t="s">
        <v>464</v>
      </c>
      <c r="C159" s="46" t="s">
        <v>144</v>
      </c>
      <c r="D159" s="46" t="s">
        <v>151</v>
      </c>
      <c r="G159" s="135" t="s">
        <v>227</v>
      </c>
      <c r="H159" s="135">
        <v>901432585</v>
      </c>
      <c r="I159" s="136" t="s">
        <v>232</v>
      </c>
      <c r="J159" s="48">
        <v>45754</v>
      </c>
      <c r="K159" s="49"/>
      <c r="L159" s="50"/>
      <c r="M159" s="48">
        <v>45763</v>
      </c>
      <c r="N159" s="75" t="s">
        <v>210</v>
      </c>
      <c r="R159" s="72"/>
      <c r="S159" s="48"/>
      <c r="T159" s="48" t="s">
        <v>145</v>
      </c>
      <c r="U159" s="48"/>
      <c r="V159" s="48"/>
      <c r="W159" s="48" t="s">
        <v>462</v>
      </c>
    </row>
    <row r="160" spans="1:23" hidden="1" x14ac:dyDescent="0.25">
      <c r="A160" s="152">
        <f t="shared" si="11"/>
        <v>154</v>
      </c>
      <c r="B160" s="46" t="s">
        <v>465</v>
      </c>
      <c r="C160" s="46" t="s">
        <v>144</v>
      </c>
      <c r="D160" s="46" t="s">
        <v>151</v>
      </c>
      <c r="G160" s="135" t="s">
        <v>227</v>
      </c>
      <c r="H160" s="135">
        <v>901432585</v>
      </c>
      <c r="I160" s="136" t="s">
        <v>232</v>
      </c>
      <c r="J160" s="48">
        <v>45755</v>
      </c>
      <c r="K160" s="49"/>
      <c r="L160" s="50"/>
      <c r="M160" s="48">
        <v>45763</v>
      </c>
      <c r="N160" s="75" t="s">
        <v>210</v>
      </c>
      <c r="R160" s="72"/>
      <c r="S160" s="48"/>
      <c r="T160" s="48" t="s">
        <v>145</v>
      </c>
      <c r="U160" s="48"/>
      <c r="V160" s="48"/>
      <c r="W160" s="48" t="s">
        <v>462</v>
      </c>
    </row>
    <row r="161" spans="1:23" hidden="1" x14ac:dyDescent="0.25">
      <c r="A161" s="152">
        <f t="shared" si="11"/>
        <v>155</v>
      </c>
      <c r="B161" s="46" t="s">
        <v>466</v>
      </c>
      <c r="C161" s="46" t="s">
        <v>144</v>
      </c>
      <c r="D161" s="46" t="s">
        <v>151</v>
      </c>
      <c r="G161" s="135" t="s">
        <v>227</v>
      </c>
      <c r="H161" s="135">
        <v>901432585</v>
      </c>
      <c r="I161" s="136" t="s">
        <v>232</v>
      </c>
      <c r="J161" s="48">
        <v>45755</v>
      </c>
      <c r="K161" s="49"/>
      <c r="L161" s="50"/>
      <c r="M161" s="48">
        <v>45763</v>
      </c>
      <c r="N161" s="75" t="s">
        <v>210</v>
      </c>
      <c r="R161" s="72"/>
      <c r="S161" s="48"/>
      <c r="T161" s="48" t="s">
        <v>145</v>
      </c>
      <c r="U161" s="48"/>
      <c r="V161" s="48"/>
      <c r="W161" s="48" t="s">
        <v>462</v>
      </c>
    </row>
    <row r="162" spans="1:23" hidden="1" x14ac:dyDescent="0.25">
      <c r="A162" s="152">
        <f t="shared" si="11"/>
        <v>156</v>
      </c>
      <c r="B162" s="46" t="s">
        <v>467</v>
      </c>
      <c r="C162" s="46" t="s">
        <v>144</v>
      </c>
      <c r="D162" s="46" t="s">
        <v>151</v>
      </c>
      <c r="G162" s="135" t="s">
        <v>227</v>
      </c>
      <c r="H162" s="135">
        <v>901432585</v>
      </c>
      <c r="I162" s="136" t="s">
        <v>232</v>
      </c>
      <c r="J162" s="48">
        <v>45755</v>
      </c>
      <c r="K162" s="49"/>
      <c r="L162" s="50"/>
      <c r="M162" s="48">
        <v>45763</v>
      </c>
      <c r="N162" s="75" t="s">
        <v>210</v>
      </c>
      <c r="R162" s="72"/>
      <c r="S162" s="48"/>
      <c r="T162" s="48" t="s">
        <v>145</v>
      </c>
      <c r="U162" s="48"/>
      <c r="V162" s="48"/>
      <c r="W162" s="48" t="s">
        <v>462</v>
      </c>
    </row>
    <row r="163" spans="1:23" hidden="1" x14ac:dyDescent="0.25">
      <c r="A163" s="152">
        <f t="shared" si="11"/>
        <v>157</v>
      </c>
      <c r="B163" s="46" t="s">
        <v>468</v>
      </c>
      <c r="C163" s="46" t="s">
        <v>144</v>
      </c>
      <c r="D163" s="46" t="s">
        <v>154</v>
      </c>
      <c r="G163" s="135" t="s">
        <v>227</v>
      </c>
      <c r="H163" s="135">
        <v>901432585</v>
      </c>
      <c r="I163" s="136" t="s">
        <v>232</v>
      </c>
      <c r="J163" s="48">
        <v>45755</v>
      </c>
      <c r="K163" s="49">
        <v>23413</v>
      </c>
      <c r="L163" s="50"/>
      <c r="M163" s="48"/>
      <c r="N163" s="75" t="s">
        <v>229</v>
      </c>
      <c r="R163" s="72"/>
      <c r="S163" s="48"/>
      <c r="T163" s="48" t="s">
        <v>145</v>
      </c>
      <c r="U163" s="48"/>
      <c r="V163" s="48"/>
    </row>
    <row r="164" spans="1:23" hidden="1" x14ac:dyDescent="0.25">
      <c r="A164" s="152">
        <f t="shared" si="11"/>
        <v>158</v>
      </c>
      <c r="B164" s="46" t="s">
        <v>469</v>
      </c>
      <c r="C164" s="46" t="s">
        <v>144</v>
      </c>
      <c r="D164" s="46" t="s">
        <v>154</v>
      </c>
      <c r="G164" s="135" t="s">
        <v>227</v>
      </c>
      <c r="H164" s="135">
        <v>901432585</v>
      </c>
      <c r="I164" s="136" t="s">
        <v>232</v>
      </c>
      <c r="J164" s="48">
        <v>45755</v>
      </c>
      <c r="K164" s="49">
        <v>23414</v>
      </c>
      <c r="L164" s="50"/>
      <c r="M164" s="48"/>
      <c r="N164" s="75" t="s">
        <v>229</v>
      </c>
      <c r="R164" s="72"/>
      <c r="S164" s="48"/>
      <c r="T164" s="48" t="s">
        <v>145</v>
      </c>
      <c r="U164" s="48"/>
      <c r="V164" s="48"/>
    </row>
    <row r="165" spans="1:23" hidden="1" x14ac:dyDescent="0.25">
      <c r="A165" s="152">
        <f t="shared" si="11"/>
        <v>159</v>
      </c>
      <c r="B165" s="46" t="s">
        <v>470</v>
      </c>
      <c r="C165" s="46" t="s">
        <v>144</v>
      </c>
      <c r="D165" s="46" t="s">
        <v>154</v>
      </c>
      <c r="G165" s="135" t="s">
        <v>227</v>
      </c>
      <c r="H165" s="135">
        <v>901432585</v>
      </c>
      <c r="I165" s="136" t="s">
        <v>232</v>
      </c>
      <c r="J165" s="48">
        <v>45755</v>
      </c>
      <c r="K165" s="49">
        <v>23415</v>
      </c>
      <c r="L165" s="50"/>
      <c r="M165" s="48"/>
      <c r="N165" s="75" t="s">
        <v>229</v>
      </c>
      <c r="R165" s="72"/>
      <c r="S165" s="48"/>
      <c r="T165" s="48" t="s">
        <v>145</v>
      </c>
      <c r="U165" s="48"/>
      <c r="V165" s="48"/>
    </row>
    <row r="166" spans="1:23" hidden="1" x14ac:dyDescent="0.25">
      <c r="A166" s="152">
        <f t="shared" si="11"/>
        <v>160</v>
      </c>
      <c r="B166" s="46" t="s">
        <v>471</v>
      </c>
      <c r="C166" s="46" t="str">
        <f>+IF(EstadoSolicitudes[[#This Row],[Aprobado OR]]="Aprobado",EstadoSolicitudes[[#This Row],[Aprobado OR]],
IF(EstadoSolicitudes[[#This Row],[Aprobado OR]]="Cancelado",EstadoSolicitudes[[#This Row],[Aprobado OR]],
IF(EstadoSolicitudes[[#This Row],[Cargue estudio al OR]]&gt;1,"Verificación Técnica",
IF(EstadoSolicitudes[[#This Row],[Fecha solicitud estudio]]&gt;1,"Estudio de conexión",
IF(EstadoSolicitudes[[#This Row],[Insumos revisados]]="No",IF(EstadoSolicitudes[[#This Row],[Fecha entrega insumos OR]]&gt;1,"Evolti","Espera de insumos"),
"Evolti")))))</f>
        <v>Espera de insumos</v>
      </c>
      <c r="D166" s="46" t="s">
        <v>153</v>
      </c>
      <c r="G166" s="46" t="s">
        <v>227</v>
      </c>
      <c r="H166" s="46">
        <v>901432582</v>
      </c>
      <c r="I166" s="56" t="s">
        <v>232</v>
      </c>
      <c r="J166" s="48">
        <v>45755</v>
      </c>
      <c r="K166" s="49">
        <v>3961</v>
      </c>
      <c r="L166" s="50" t="s">
        <v>241</v>
      </c>
      <c r="M166" s="48"/>
      <c r="N166" s="75" t="s">
        <v>229</v>
      </c>
      <c r="R166" s="72"/>
      <c r="S166" s="48"/>
      <c r="T166" s="48" t="s">
        <v>145</v>
      </c>
      <c r="U166" s="48"/>
      <c r="V166" s="48"/>
    </row>
    <row r="167" spans="1:23" hidden="1" x14ac:dyDescent="0.25">
      <c r="A167" s="152">
        <f t="shared" si="11"/>
        <v>161</v>
      </c>
      <c r="B167" s="46" t="s">
        <v>472</v>
      </c>
      <c r="C167" s="46" t="str">
        <f>+IF(EstadoSolicitudes[[#This Row],[Aprobado OR]]="Aprobado",EstadoSolicitudes[[#This Row],[Aprobado OR]],
IF(EstadoSolicitudes[[#This Row],[Aprobado OR]]="Cancelado",EstadoSolicitudes[[#This Row],[Aprobado OR]],
IF(EstadoSolicitudes[[#This Row],[Cargue estudio al OR]]&gt;1,"Verificación Técnica",
IF(EstadoSolicitudes[[#This Row],[Fecha solicitud estudio]]&gt;1,"Estudio de conexión",
IF(EstadoSolicitudes[[#This Row],[Insumos revisados]]="No",IF(EstadoSolicitudes[[#This Row],[Fecha entrega insumos OR]]&gt;1,"Evolti","Espera de insumos"),
"Evolti")))))</f>
        <v>Espera de insumos</v>
      </c>
      <c r="D167" s="46" t="s">
        <v>153</v>
      </c>
      <c r="G167" s="46" t="s">
        <v>227</v>
      </c>
      <c r="H167" s="46">
        <v>901432582</v>
      </c>
      <c r="I167" s="56" t="s">
        <v>267</v>
      </c>
      <c r="J167" s="48">
        <v>45755</v>
      </c>
      <c r="K167" s="49">
        <v>3962</v>
      </c>
      <c r="L167" s="50" t="s">
        <v>268</v>
      </c>
      <c r="M167" s="48"/>
      <c r="N167" s="75" t="s">
        <v>229</v>
      </c>
      <c r="R167" s="72"/>
      <c r="S167" s="48"/>
      <c r="T167" s="48" t="s">
        <v>145</v>
      </c>
      <c r="U167" s="48"/>
      <c r="V167" s="48"/>
    </row>
    <row r="168" spans="1:23" hidden="1" x14ac:dyDescent="0.25">
      <c r="A168" s="152">
        <f t="shared" si="11"/>
        <v>162</v>
      </c>
      <c r="B168" s="46" t="s">
        <v>473</v>
      </c>
      <c r="C168" s="46" t="str">
        <f>+IF(EstadoSolicitudes[[#This Row],[Aprobado OR]]="Aprobado",EstadoSolicitudes[[#This Row],[Aprobado OR]],
IF(EstadoSolicitudes[[#This Row],[Aprobado OR]]="Cancelado",EstadoSolicitudes[[#This Row],[Aprobado OR]],
IF(EstadoSolicitudes[[#This Row],[Cargue estudio al OR]]&gt;1,"Verificación Técnica",
IF(EstadoSolicitudes[[#This Row],[Fecha solicitud estudio]]&gt;1,"Estudio de conexión",
IF(EstadoSolicitudes[[#This Row],[Insumos revisados]]="No",IF(EstadoSolicitudes[[#This Row],[Fecha entrega insumos OR]]&gt;1,"Evolti","Espera de insumos"),
"Evolti")))))</f>
        <v>Espera de insumos</v>
      </c>
      <c r="D168" s="46" t="s">
        <v>153</v>
      </c>
      <c r="G168" s="46" t="s">
        <v>227</v>
      </c>
      <c r="H168" s="46">
        <v>901432582</v>
      </c>
      <c r="I168" s="56" t="s">
        <v>474</v>
      </c>
      <c r="J168" s="48">
        <v>45755</v>
      </c>
      <c r="K168" s="49">
        <v>3963</v>
      </c>
      <c r="L168" s="50" t="s">
        <v>475</v>
      </c>
      <c r="M168" s="48"/>
      <c r="N168" s="75" t="s">
        <v>229</v>
      </c>
      <c r="R168" s="72"/>
      <c r="S168" s="48"/>
      <c r="T168" s="48" t="s">
        <v>145</v>
      </c>
      <c r="U168" s="48"/>
      <c r="V168" s="48"/>
    </row>
    <row r="169" spans="1:23" hidden="1" x14ac:dyDescent="0.25">
      <c r="A169" s="152">
        <f t="shared" si="11"/>
        <v>163</v>
      </c>
      <c r="B169" s="46" t="s">
        <v>476</v>
      </c>
      <c r="C169" s="46" t="str">
        <f>+IF(EstadoSolicitudes[[#This Row],[Aprobado OR]]="Aprobado",EstadoSolicitudes[[#This Row],[Aprobado OR]],
IF(EstadoSolicitudes[[#This Row],[Aprobado OR]]="Cancelado",EstadoSolicitudes[[#This Row],[Aprobado OR]],
IF(EstadoSolicitudes[[#This Row],[Cargue estudio al OR]]&gt;1,"Verificación Técnica",
IF(EstadoSolicitudes[[#This Row],[Fecha solicitud estudio]]&gt;1,"Estudio de conexión",
IF(EstadoSolicitudes[[#This Row],[Insumos revisados]]="No",IF(EstadoSolicitudes[[#This Row],[Fecha entrega insumos OR]]&gt;1,"Evolti","Espera de insumos"),
"Evolti")))))</f>
        <v>Espera de insumos</v>
      </c>
      <c r="D169" s="46" t="s">
        <v>153</v>
      </c>
      <c r="G169" s="46" t="s">
        <v>227</v>
      </c>
      <c r="H169" s="46">
        <v>901432582</v>
      </c>
      <c r="I169" s="136" t="s">
        <v>232</v>
      </c>
      <c r="J169" s="48">
        <v>45755</v>
      </c>
      <c r="K169" s="49">
        <v>3964</v>
      </c>
      <c r="L169" s="50" t="s">
        <v>241</v>
      </c>
      <c r="M169" s="48"/>
      <c r="N169" s="75" t="s">
        <v>229</v>
      </c>
      <c r="R169" s="72"/>
      <c r="S169" s="48"/>
      <c r="T169" s="48" t="s">
        <v>145</v>
      </c>
      <c r="U169" s="48"/>
      <c r="V169" s="48"/>
    </row>
    <row r="170" spans="1:23" hidden="1" x14ac:dyDescent="0.25">
      <c r="A170" s="152">
        <f t="shared" si="11"/>
        <v>164</v>
      </c>
      <c r="B170" s="46" t="s">
        <v>477</v>
      </c>
      <c r="C170" s="46" t="s">
        <v>144</v>
      </c>
      <c r="D170" s="46" t="s">
        <v>161</v>
      </c>
      <c r="E170" s="152" t="s">
        <v>478</v>
      </c>
      <c r="F170" s="152" t="s">
        <v>479</v>
      </c>
      <c r="G170" s="46" t="s">
        <v>227</v>
      </c>
      <c r="H170" s="46">
        <v>901432582</v>
      </c>
      <c r="I170" s="78" t="s">
        <v>232</v>
      </c>
      <c r="J170" s="48">
        <v>45755</v>
      </c>
      <c r="K170" s="46">
        <v>63587437</v>
      </c>
      <c r="L170" s="50"/>
      <c r="M170" s="48"/>
      <c r="N170" s="75" t="s">
        <v>229</v>
      </c>
      <c r="R170" s="72"/>
      <c r="S170" s="48"/>
      <c r="T170" s="48" t="s">
        <v>145</v>
      </c>
      <c r="U170" s="48"/>
      <c r="V170" s="48"/>
      <c r="W170" s="48" t="s">
        <v>383</v>
      </c>
    </row>
    <row r="171" spans="1:23" hidden="1" x14ac:dyDescent="0.25">
      <c r="A171" s="152">
        <f t="shared" si="11"/>
        <v>165</v>
      </c>
      <c r="B171" s="46" t="s">
        <v>480</v>
      </c>
      <c r="C171" s="46" t="s">
        <v>144</v>
      </c>
      <c r="D171" s="46" t="s">
        <v>161</v>
      </c>
      <c r="E171" s="152" t="s">
        <v>478</v>
      </c>
      <c r="F171" s="152" t="s">
        <v>479</v>
      </c>
      <c r="G171" s="46" t="s">
        <v>227</v>
      </c>
      <c r="H171" s="46">
        <v>901432582</v>
      </c>
      <c r="I171" s="78" t="s">
        <v>232</v>
      </c>
      <c r="J171" s="48">
        <v>45755</v>
      </c>
      <c r="K171" s="46">
        <v>63587624</v>
      </c>
      <c r="L171" s="50" t="s">
        <v>481</v>
      </c>
      <c r="M171" s="48">
        <v>45772</v>
      </c>
      <c r="N171" s="75" t="s">
        <v>210</v>
      </c>
      <c r="R171" s="72"/>
      <c r="S171" s="48"/>
      <c r="T171" s="48" t="s">
        <v>145</v>
      </c>
      <c r="U171" s="48"/>
      <c r="V171" s="48"/>
      <c r="W171" s="48" t="s">
        <v>383</v>
      </c>
    </row>
    <row r="172" spans="1:23" hidden="1" x14ac:dyDescent="0.25">
      <c r="A172" s="152">
        <f t="shared" si="11"/>
        <v>166</v>
      </c>
      <c r="B172" s="46" t="s">
        <v>482</v>
      </c>
      <c r="C172" s="46" t="s">
        <v>144</v>
      </c>
      <c r="D172" s="46" t="s">
        <v>161</v>
      </c>
      <c r="E172" s="152" t="s">
        <v>478</v>
      </c>
      <c r="F172" s="152" t="s">
        <v>479</v>
      </c>
      <c r="G172" s="46" t="s">
        <v>227</v>
      </c>
      <c r="H172" s="46">
        <v>901432582</v>
      </c>
      <c r="I172" s="78" t="s">
        <v>232</v>
      </c>
      <c r="J172" s="48">
        <v>45755</v>
      </c>
      <c r="K172" s="46">
        <v>63587747</v>
      </c>
      <c r="L172" s="50"/>
      <c r="M172" s="48"/>
      <c r="N172" s="75" t="s">
        <v>229</v>
      </c>
      <c r="R172" s="72"/>
      <c r="S172" s="48"/>
      <c r="T172" s="48" t="s">
        <v>145</v>
      </c>
      <c r="U172" s="48"/>
      <c r="V172" s="48"/>
      <c r="W172" s="48" t="s">
        <v>383</v>
      </c>
    </row>
    <row r="173" spans="1:23" hidden="1" x14ac:dyDescent="0.25">
      <c r="A173" s="152">
        <f t="shared" si="11"/>
        <v>167</v>
      </c>
      <c r="B173" s="46" t="s">
        <v>483</v>
      </c>
      <c r="C173" s="46" t="s">
        <v>144</v>
      </c>
      <c r="D173" s="46" t="s">
        <v>161</v>
      </c>
      <c r="G173" s="46" t="s">
        <v>227</v>
      </c>
      <c r="H173" s="46">
        <v>901432582</v>
      </c>
      <c r="I173" s="78" t="s">
        <v>232</v>
      </c>
      <c r="J173" s="48">
        <v>45755</v>
      </c>
      <c r="K173" s="46">
        <v>63590976</v>
      </c>
      <c r="L173" s="50" t="s">
        <v>484</v>
      </c>
      <c r="M173" s="48">
        <v>45772</v>
      </c>
      <c r="N173" s="75" t="s">
        <v>210</v>
      </c>
      <c r="R173" s="72"/>
      <c r="S173" s="48"/>
      <c r="T173" s="48" t="s">
        <v>145</v>
      </c>
      <c r="U173" s="48"/>
      <c r="V173" s="48"/>
      <c r="W173" s="48" t="s">
        <v>383</v>
      </c>
    </row>
    <row r="174" spans="1:23" hidden="1" x14ac:dyDescent="0.25">
      <c r="A174" s="152">
        <f t="shared" si="11"/>
        <v>168</v>
      </c>
      <c r="B174" s="46" t="s">
        <v>485</v>
      </c>
      <c r="C174" s="46" t="s">
        <v>144</v>
      </c>
      <c r="D174" s="46" t="s">
        <v>161</v>
      </c>
      <c r="G174" s="46" t="s">
        <v>227</v>
      </c>
      <c r="H174" s="46">
        <v>901432582</v>
      </c>
      <c r="I174" s="78" t="s">
        <v>232</v>
      </c>
      <c r="J174" s="48">
        <v>45755</v>
      </c>
      <c r="K174" s="46">
        <v>63591048</v>
      </c>
      <c r="L174" s="50" t="s">
        <v>486</v>
      </c>
      <c r="M174" s="48">
        <v>45772</v>
      </c>
      <c r="N174" s="75" t="s">
        <v>210</v>
      </c>
      <c r="R174" s="72"/>
      <c r="S174" s="48"/>
      <c r="T174" s="48" t="s">
        <v>145</v>
      </c>
      <c r="U174" s="48"/>
      <c r="V174" s="48"/>
      <c r="W174" s="48" t="s">
        <v>383</v>
      </c>
    </row>
    <row r="175" spans="1:23" hidden="1" x14ac:dyDescent="0.25">
      <c r="A175" s="152">
        <f t="shared" si="11"/>
        <v>169</v>
      </c>
      <c r="B175" s="46" t="s">
        <v>487</v>
      </c>
      <c r="C175" s="46" t="s">
        <v>144</v>
      </c>
      <c r="D175" s="46" t="s">
        <v>161</v>
      </c>
      <c r="G175" s="46" t="s">
        <v>227</v>
      </c>
      <c r="H175" s="46">
        <v>901432582</v>
      </c>
      <c r="I175" s="78" t="s">
        <v>232</v>
      </c>
      <c r="J175" s="48">
        <v>45755</v>
      </c>
      <c r="K175" s="46">
        <v>63591157</v>
      </c>
      <c r="L175" s="50" t="s">
        <v>488</v>
      </c>
      <c r="M175" s="48">
        <v>45772</v>
      </c>
      <c r="N175" s="75" t="s">
        <v>210</v>
      </c>
      <c r="R175" s="72"/>
      <c r="S175" s="48"/>
      <c r="T175" s="48" t="s">
        <v>145</v>
      </c>
      <c r="U175" s="48"/>
      <c r="V175" s="48"/>
      <c r="W175" s="48" t="s">
        <v>383</v>
      </c>
    </row>
    <row r="176" spans="1:23" hidden="1" x14ac:dyDescent="0.25">
      <c r="A176" s="152">
        <f t="shared" si="11"/>
        <v>170</v>
      </c>
      <c r="B176" s="46" t="s">
        <v>489</v>
      </c>
      <c r="C176" s="46" t="s">
        <v>144</v>
      </c>
      <c r="D176" s="46" t="s">
        <v>161</v>
      </c>
      <c r="G176" s="46" t="s">
        <v>227</v>
      </c>
      <c r="H176" s="46">
        <v>901432582</v>
      </c>
      <c r="I176" s="78" t="s">
        <v>232</v>
      </c>
      <c r="J176" s="48">
        <v>45755</v>
      </c>
      <c r="K176" s="46">
        <v>63591434</v>
      </c>
      <c r="L176" s="50" t="s">
        <v>490</v>
      </c>
      <c r="M176" s="48">
        <v>45772</v>
      </c>
      <c r="N176" s="75" t="s">
        <v>210</v>
      </c>
      <c r="R176" s="72"/>
      <c r="S176" s="48"/>
      <c r="T176" s="48" t="s">
        <v>145</v>
      </c>
      <c r="U176" s="48"/>
      <c r="V176" s="48"/>
      <c r="W176" s="48" t="s">
        <v>383</v>
      </c>
    </row>
    <row r="177" spans="1:23" hidden="1" x14ac:dyDescent="0.25">
      <c r="A177" s="152">
        <f t="shared" si="11"/>
        <v>171</v>
      </c>
      <c r="B177" s="46" t="s">
        <v>491</v>
      </c>
      <c r="C177" s="46" t="s">
        <v>144</v>
      </c>
      <c r="D177" s="46" t="s">
        <v>161</v>
      </c>
      <c r="G177" s="46" t="s">
        <v>227</v>
      </c>
      <c r="H177" s="46">
        <v>901432582</v>
      </c>
      <c r="I177" s="78" t="s">
        <v>232</v>
      </c>
      <c r="J177" s="48">
        <v>45756</v>
      </c>
      <c r="K177" s="46">
        <v>63598075</v>
      </c>
      <c r="L177" s="50" t="s">
        <v>492</v>
      </c>
      <c r="M177" s="48">
        <v>45772</v>
      </c>
      <c r="N177" s="75" t="s">
        <v>210</v>
      </c>
      <c r="R177" s="72"/>
      <c r="S177" s="48"/>
      <c r="T177" s="48" t="s">
        <v>145</v>
      </c>
      <c r="U177" s="48"/>
      <c r="V177" s="48"/>
      <c r="W177" s="48" t="s">
        <v>383</v>
      </c>
    </row>
    <row r="178" spans="1:23" hidden="1" x14ac:dyDescent="0.25">
      <c r="A178" s="152">
        <f t="shared" si="11"/>
        <v>172</v>
      </c>
      <c r="B178" s="46" t="s">
        <v>493</v>
      </c>
      <c r="C178" s="46" t="s">
        <v>144</v>
      </c>
      <c r="D178" s="46" t="s">
        <v>161</v>
      </c>
      <c r="G178" s="46" t="s">
        <v>227</v>
      </c>
      <c r="H178" s="46">
        <v>901432582</v>
      </c>
      <c r="I178" s="78" t="s">
        <v>232</v>
      </c>
      <c r="J178" s="48">
        <v>45756</v>
      </c>
      <c r="K178" s="46">
        <v>63600470</v>
      </c>
      <c r="L178" s="50" t="s">
        <v>494</v>
      </c>
      <c r="M178" s="48">
        <v>45772</v>
      </c>
      <c r="N178" s="75" t="s">
        <v>210</v>
      </c>
      <c r="R178" s="72"/>
      <c r="S178" s="48"/>
      <c r="T178" s="48" t="s">
        <v>145</v>
      </c>
      <c r="U178" s="48"/>
      <c r="V178" s="48"/>
      <c r="W178" s="48" t="s">
        <v>383</v>
      </c>
    </row>
    <row r="179" spans="1:23" hidden="1" x14ac:dyDescent="0.25">
      <c r="A179" s="152">
        <f t="shared" si="11"/>
        <v>173</v>
      </c>
      <c r="B179" s="46" t="s">
        <v>495</v>
      </c>
      <c r="C179" s="46" t="s">
        <v>144</v>
      </c>
      <c r="D179" s="46" t="s">
        <v>156</v>
      </c>
      <c r="G179" s="135" t="s">
        <v>227</v>
      </c>
      <c r="H179" s="135">
        <v>901432582</v>
      </c>
      <c r="I179" s="136" t="s">
        <v>232</v>
      </c>
      <c r="J179" s="48">
        <v>45756</v>
      </c>
      <c r="K179" s="49">
        <v>2504272</v>
      </c>
      <c r="L179" s="50"/>
      <c r="M179" s="48">
        <v>45758</v>
      </c>
      <c r="N179" s="75" t="s">
        <v>210</v>
      </c>
      <c r="R179" s="72"/>
      <c r="S179" s="48"/>
      <c r="T179" s="48" t="s">
        <v>145</v>
      </c>
      <c r="U179" s="48"/>
      <c r="V179" s="48"/>
    </row>
    <row r="180" spans="1:23" hidden="1" x14ac:dyDescent="0.25">
      <c r="A180" s="152">
        <f t="shared" si="11"/>
        <v>174</v>
      </c>
      <c r="B180" s="46" t="s">
        <v>496</v>
      </c>
      <c r="C180" s="46" t="s">
        <v>144</v>
      </c>
      <c r="D180" s="46" t="s">
        <v>156</v>
      </c>
      <c r="G180" s="135" t="s">
        <v>227</v>
      </c>
      <c r="H180" s="135">
        <v>901432582</v>
      </c>
      <c r="I180" s="136" t="s">
        <v>232</v>
      </c>
      <c r="J180" s="48">
        <v>45756</v>
      </c>
      <c r="K180" s="49">
        <v>2504273</v>
      </c>
      <c r="L180" s="50"/>
      <c r="M180" s="48">
        <v>45758</v>
      </c>
      <c r="N180" s="75" t="s">
        <v>210</v>
      </c>
      <c r="R180" s="72"/>
      <c r="S180" s="48"/>
      <c r="T180" s="48" t="s">
        <v>145</v>
      </c>
      <c r="U180" s="48"/>
      <c r="V180" s="48"/>
    </row>
    <row r="181" spans="1:23" hidden="1" x14ac:dyDescent="0.25">
      <c r="A181" s="152">
        <f t="shared" si="11"/>
        <v>175</v>
      </c>
      <c r="B181" s="46" t="s">
        <v>497</v>
      </c>
      <c r="C181" s="46" t="s">
        <v>144</v>
      </c>
      <c r="D181" s="46" t="s">
        <v>156</v>
      </c>
      <c r="G181" s="135" t="s">
        <v>227</v>
      </c>
      <c r="H181" s="135">
        <v>901432582</v>
      </c>
      <c r="I181" s="136" t="s">
        <v>232</v>
      </c>
      <c r="J181" s="48">
        <v>45756</v>
      </c>
      <c r="K181" s="49">
        <v>2504274</v>
      </c>
      <c r="L181" s="50"/>
      <c r="M181" s="48">
        <v>45758</v>
      </c>
      <c r="N181" s="75" t="s">
        <v>210</v>
      </c>
      <c r="R181" s="72"/>
      <c r="S181" s="48"/>
      <c r="T181" s="48" t="s">
        <v>145</v>
      </c>
      <c r="U181" s="48"/>
      <c r="V181" s="48"/>
    </row>
    <row r="182" spans="1:23" hidden="1" x14ac:dyDescent="0.25">
      <c r="A182" s="152">
        <f t="shared" si="11"/>
        <v>176</v>
      </c>
      <c r="B182" s="46" t="s">
        <v>498</v>
      </c>
      <c r="C182" s="46" t="str">
        <f>+IF(EstadoSolicitudes[[#This Row],[Aprobado OR]]="Aprobado",EstadoSolicitudes[[#This Row],[Aprobado OR]],
IF(EstadoSolicitudes[[#This Row],[Aprobado OR]]="Cancelado",EstadoSolicitudes[[#This Row],[Aprobado OR]],
IF(EstadoSolicitudes[[#This Row],[Cargue estudio al OR]]&gt;1,"Verificación Técnica",
IF(EstadoSolicitudes[[#This Row],[Fecha solicitud estudio]]&gt;1,"Estudio de conexión",
IF(EstadoSolicitudes[[#This Row],[Insumos revisados]]="No",IF(EstadoSolicitudes[[#This Row],[Fecha entrega insumos OR]]&gt;1,"Evolti","Espera de insumos"),
"Evolti")))))</f>
        <v>Evolti</v>
      </c>
      <c r="D182" s="46" t="s">
        <v>151</v>
      </c>
      <c r="G182" s="135" t="s">
        <v>227</v>
      </c>
      <c r="H182" s="135">
        <v>901432585</v>
      </c>
      <c r="I182" s="136" t="s">
        <v>232</v>
      </c>
      <c r="J182" s="48">
        <v>45756</v>
      </c>
      <c r="K182" s="49"/>
      <c r="L182" s="50"/>
      <c r="M182" s="48">
        <v>45771</v>
      </c>
      <c r="N182" s="75" t="s">
        <v>210</v>
      </c>
      <c r="R182" s="72"/>
      <c r="S182" s="48"/>
      <c r="T182" s="48" t="s">
        <v>145</v>
      </c>
      <c r="U182" s="48"/>
      <c r="V182" s="48"/>
      <c r="W182" s="48" t="s">
        <v>462</v>
      </c>
    </row>
    <row r="183" spans="1:23" hidden="1" x14ac:dyDescent="0.25">
      <c r="A183" s="152">
        <f t="shared" si="11"/>
        <v>177</v>
      </c>
      <c r="B183" s="46" t="s">
        <v>499</v>
      </c>
      <c r="C183" s="46" t="str">
        <f>+IF(EstadoSolicitudes[[#This Row],[Aprobado OR]]="Aprobado",EstadoSolicitudes[[#This Row],[Aprobado OR]],
IF(EstadoSolicitudes[[#This Row],[Aprobado OR]]="Cancelado",EstadoSolicitudes[[#This Row],[Aprobado OR]],
IF(EstadoSolicitudes[[#This Row],[Cargue estudio al OR]]&gt;1,"Verificación Técnica",
IF(EstadoSolicitudes[[#This Row],[Fecha solicitud estudio]]&gt;1,"Estudio de conexión",
IF(EstadoSolicitudes[[#This Row],[Insumos revisados]]="No",IF(EstadoSolicitudes[[#This Row],[Fecha entrega insumos OR]]&gt;1,"Evolti","Espera de insumos"),
"Evolti")))))</f>
        <v>Evolti</v>
      </c>
      <c r="D183" s="46" t="s">
        <v>151</v>
      </c>
      <c r="G183" s="135" t="s">
        <v>227</v>
      </c>
      <c r="H183" s="135">
        <v>901432585</v>
      </c>
      <c r="I183" s="136" t="s">
        <v>232</v>
      </c>
      <c r="J183" s="48">
        <v>45756</v>
      </c>
      <c r="K183" s="49"/>
      <c r="L183" s="50"/>
      <c r="M183" s="48">
        <v>45771</v>
      </c>
      <c r="N183" s="75" t="s">
        <v>210</v>
      </c>
      <c r="R183" s="72"/>
      <c r="S183" s="48"/>
      <c r="T183" s="48" t="s">
        <v>145</v>
      </c>
      <c r="U183" s="48"/>
      <c r="V183" s="48"/>
      <c r="W183" s="48" t="s">
        <v>462</v>
      </c>
    </row>
    <row r="184" spans="1:23" hidden="1" x14ac:dyDescent="0.25">
      <c r="A184" s="152">
        <f t="shared" si="11"/>
        <v>178</v>
      </c>
      <c r="B184" s="46" t="s">
        <v>500</v>
      </c>
      <c r="C184" s="46" t="str">
        <f>+IF(EstadoSolicitudes[[#This Row],[Aprobado OR]]="Aprobado",EstadoSolicitudes[[#This Row],[Aprobado OR]],
IF(EstadoSolicitudes[[#This Row],[Aprobado OR]]="Cancelado",EstadoSolicitudes[[#This Row],[Aprobado OR]],
IF(EstadoSolicitudes[[#This Row],[Cargue estudio al OR]]&gt;1,"Verificación Técnica",
IF(EstadoSolicitudes[[#This Row],[Fecha solicitud estudio]]&gt;1,"Estudio de conexión",
IF(EstadoSolicitudes[[#This Row],[Insumos revisados]]="No",IF(EstadoSolicitudes[[#This Row],[Fecha entrega insumos OR]]&gt;1,"Evolti","Espera de insumos"),
"Evolti")))))</f>
        <v>Evolti</v>
      </c>
      <c r="D184" s="46" t="s">
        <v>151</v>
      </c>
      <c r="G184" s="135" t="s">
        <v>227</v>
      </c>
      <c r="H184" s="135">
        <v>901432585</v>
      </c>
      <c r="I184" s="136" t="s">
        <v>232</v>
      </c>
      <c r="J184" s="48">
        <v>45756</v>
      </c>
      <c r="K184" s="49"/>
      <c r="L184" s="50"/>
      <c r="M184" s="48">
        <v>45771</v>
      </c>
      <c r="N184" s="75" t="s">
        <v>210</v>
      </c>
      <c r="R184" s="72"/>
      <c r="S184" s="48"/>
      <c r="T184" s="48" t="s">
        <v>145</v>
      </c>
      <c r="U184" s="48"/>
      <c r="V184" s="48"/>
      <c r="W184" s="48" t="s">
        <v>462</v>
      </c>
    </row>
    <row r="185" spans="1:23" hidden="1" x14ac:dyDescent="0.25">
      <c r="A185" s="152">
        <f t="shared" si="11"/>
        <v>179</v>
      </c>
      <c r="B185" s="46" t="s">
        <v>501</v>
      </c>
      <c r="C185" s="46" t="s">
        <v>148</v>
      </c>
      <c r="D185" s="46" t="s">
        <v>151</v>
      </c>
      <c r="G185" s="135" t="s">
        <v>227</v>
      </c>
      <c r="H185" s="135">
        <v>901432585</v>
      </c>
      <c r="I185" s="136" t="s">
        <v>232</v>
      </c>
      <c r="J185" s="48">
        <v>45756</v>
      </c>
      <c r="K185" s="49"/>
      <c r="L185" s="50"/>
      <c r="M185" s="48"/>
      <c r="N185" s="75" t="s">
        <v>229</v>
      </c>
      <c r="R185" s="72"/>
      <c r="S185" s="48"/>
      <c r="T185" s="48" t="s">
        <v>145</v>
      </c>
      <c r="U185" s="48"/>
      <c r="V185" s="48"/>
      <c r="W185" s="48" t="s">
        <v>502</v>
      </c>
    </row>
    <row r="186" spans="1:23" hidden="1" x14ac:dyDescent="0.25">
      <c r="A186" s="152">
        <f t="shared" si="11"/>
        <v>180</v>
      </c>
      <c r="B186" s="46" t="s">
        <v>503</v>
      </c>
      <c r="C186" s="46" t="s">
        <v>148</v>
      </c>
      <c r="D186" s="46" t="s">
        <v>151</v>
      </c>
      <c r="G186" s="135" t="s">
        <v>227</v>
      </c>
      <c r="H186" s="135">
        <v>901432585</v>
      </c>
      <c r="I186" s="136" t="s">
        <v>232</v>
      </c>
      <c r="J186" s="48">
        <v>45756</v>
      </c>
      <c r="K186" s="49"/>
      <c r="L186" s="50"/>
      <c r="M186" s="48"/>
      <c r="N186" s="75" t="s">
        <v>229</v>
      </c>
      <c r="R186" s="72"/>
      <c r="S186" s="48"/>
      <c r="T186" s="48" t="s">
        <v>145</v>
      </c>
      <c r="U186" s="48"/>
      <c r="V186" s="48"/>
      <c r="W186" s="48" t="s">
        <v>502</v>
      </c>
    </row>
    <row r="187" spans="1:23" hidden="1" x14ac:dyDescent="0.25">
      <c r="A187" s="152">
        <f t="shared" si="11"/>
        <v>181</v>
      </c>
      <c r="B187" s="46" t="s">
        <v>504</v>
      </c>
      <c r="C187" s="46" t="s">
        <v>148</v>
      </c>
      <c r="D187" s="46" t="s">
        <v>151</v>
      </c>
      <c r="G187" s="135" t="s">
        <v>227</v>
      </c>
      <c r="H187" s="135">
        <v>901432585</v>
      </c>
      <c r="I187" s="136" t="s">
        <v>232</v>
      </c>
      <c r="J187" s="48">
        <v>45756</v>
      </c>
      <c r="K187" s="49"/>
      <c r="L187" s="50"/>
      <c r="M187" s="48"/>
      <c r="N187" s="75" t="s">
        <v>229</v>
      </c>
      <c r="R187" s="72"/>
      <c r="S187" s="48"/>
      <c r="T187" s="48" t="s">
        <v>145</v>
      </c>
      <c r="U187" s="48"/>
      <c r="V187" s="48"/>
      <c r="W187" s="48" t="s">
        <v>502</v>
      </c>
    </row>
    <row r="188" spans="1:23" hidden="1" x14ac:dyDescent="0.25">
      <c r="A188" s="152">
        <f t="shared" si="11"/>
        <v>182</v>
      </c>
      <c r="B188" s="46" t="s">
        <v>505</v>
      </c>
      <c r="C188" s="46" t="str">
        <f>+IF(EstadoSolicitudes[[#This Row],[Aprobado OR]]="Aprobado",EstadoSolicitudes[[#This Row],[Aprobado OR]],
IF(EstadoSolicitudes[[#This Row],[Aprobado OR]]="Cancelado",EstadoSolicitudes[[#This Row],[Aprobado OR]],
IF(EstadoSolicitudes[[#This Row],[Cargue estudio al OR]]&gt;1,"Verificación Técnica",
IF(EstadoSolicitudes[[#This Row],[Fecha solicitud estudio]]&gt;1,"Estudio de conexión",
IF(EstadoSolicitudes[[#This Row],[Insumos revisados]]="No",IF(EstadoSolicitudes[[#This Row],[Fecha entrega insumos OR]]&gt;1,"Evolti","Espera de insumos"),
"Evolti")))))</f>
        <v>Evolti</v>
      </c>
      <c r="D188" s="46" t="s">
        <v>151</v>
      </c>
      <c r="G188" s="135" t="s">
        <v>227</v>
      </c>
      <c r="H188" s="135">
        <v>901432585</v>
      </c>
      <c r="I188" s="136" t="s">
        <v>232</v>
      </c>
      <c r="J188" s="48">
        <v>45758</v>
      </c>
      <c r="K188" s="49"/>
      <c r="L188" s="50"/>
      <c r="M188" s="48">
        <v>45771</v>
      </c>
      <c r="N188" s="75" t="s">
        <v>210</v>
      </c>
      <c r="R188" s="72"/>
      <c r="S188" s="48"/>
      <c r="T188" s="48" t="s">
        <v>145</v>
      </c>
      <c r="U188" s="48"/>
      <c r="V188" s="48"/>
      <c r="W188" s="48" t="s">
        <v>462</v>
      </c>
    </row>
    <row r="189" spans="1:23" hidden="1" x14ac:dyDescent="0.25">
      <c r="A189" s="152">
        <f t="shared" si="11"/>
        <v>183</v>
      </c>
      <c r="B189" s="46" t="s">
        <v>506</v>
      </c>
      <c r="C189" s="46" t="str">
        <f>+IF(EstadoSolicitudes[[#This Row],[Aprobado OR]]="Aprobado",EstadoSolicitudes[[#This Row],[Aprobado OR]],
IF(EstadoSolicitudes[[#This Row],[Aprobado OR]]="Cancelado",EstadoSolicitudes[[#This Row],[Aprobado OR]],
IF(EstadoSolicitudes[[#This Row],[Cargue estudio al OR]]&gt;1,"Verificación Técnica",
IF(EstadoSolicitudes[[#This Row],[Fecha solicitud estudio]]&gt;1,"Estudio de conexión",
IF(EstadoSolicitudes[[#This Row],[Insumos revisados]]="No",IF(EstadoSolicitudes[[#This Row],[Fecha entrega insumos OR]]&gt;1,"Evolti","Espera de insumos"),
"Evolti")))))</f>
        <v>Evolti</v>
      </c>
      <c r="D189" s="46" t="s">
        <v>151</v>
      </c>
      <c r="G189" s="135" t="s">
        <v>227</v>
      </c>
      <c r="H189" s="135">
        <v>901432585</v>
      </c>
      <c r="I189" s="136" t="s">
        <v>232</v>
      </c>
      <c r="J189" s="48">
        <v>45758</v>
      </c>
      <c r="K189" s="49"/>
      <c r="L189" s="50"/>
      <c r="M189" s="48">
        <v>45771</v>
      </c>
      <c r="N189" s="75" t="s">
        <v>210</v>
      </c>
      <c r="R189" s="72"/>
      <c r="S189" s="48"/>
      <c r="T189" s="48" t="s">
        <v>145</v>
      </c>
      <c r="U189" s="48"/>
      <c r="V189" s="48"/>
      <c r="W189" s="48" t="s">
        <v>462</v>
      </c>
    </row>
    <row r="190" spans="1:23" hidden="1" x14ac:dyDescent="0.25">
      <c r="A190" s="152">
        <f t="shared" si="11"/>
        <v>184</v>
      </c>
      <c r="B190" s="46" t="s">
        <v>507</v>
      </c>
      <c r="C190" s="46" t="str">
        <f>+IF(EstadoSolicitudes[[#This Row],[Aprobado OR]]="Aprobado",EstadoSolicitudes[[#This Row],[Aprobado OR]],
IF(EstadoSolicitudes[[#This Row],[Aprobado OR]]="Cancelado",EstadoSolicitudes[[#This Row],[Aprobado OR]],
IF(EstadoSolicitudes[[#This Row],[Cargue estudio al OR]]&gt;1,"Verificación Técnica",
IF(EstadoSolicitudes[[#This Row],[Fecha solicitud estudio]]&gt;1,"Estudio de conexión",
IF(EstadoSolicitudes[[#This Row],[Insumos revisados]]="No",IF(EstadoSolicitudes[[#This Row],[Fecha entrega insumos OR]]&gt;1,"Evolti","Espera de insumos"),
"Evolti")))))</f>
        <v>Evolti</v>
      </c>
      <c r="D190" s="46" t="s">
        <v>151</v>
      </c>
      <c r="G190" s="135" t="s">
        <v>227</v>
      </c>
      <c r="H190" s="135">
        <v>901432585</v>
      </c>
      <c r="I190" s="136" t="s">
        <v>232</v>
      </c>
      <c r="J190" s="48">
        <v>45758</v>
      </c>
      <c r="K190" s="49"/>
      <c r="L190" s="50"/>
      <c r="M190" s="48">
        <v>45771</v>
      </c>
      <c r="N190" s="75" t="s">
        <v>210</v>
      </c>
      <c r="R190" s="72"/>
      <c r="S190" s="48"/>
      <c r="T190" s="48" t="s">
        <v>145</v>
      </c>
      <c r="U190" s="48"/>
      <c r="V190" s="48"/>
      <c r="W190" s="48" t="s">
        <v>462</v>
      </c>
    </row>
    <row r="191" spans="1:23" hidden="1" x14ac:dyDescent="0.25">
      <c r="A191" s="152">
        <f t="shared" si="11"/>
        <v>185</v>
      </c>
      <c r="B191" s="46" t="s">
        <v>508</v>
      </c>
      <c r="C191" s="46" t="s">
        <v>144</v>
      </c>
      <c r="D191" s="46" t="s">
        <v>160</v>
      </c>
      <c r="G191" s="135" t="s">
        <v>227</v>
      </c>
      <c r="H191" s="135">
        <v>901432585</v>
      </c>
      <c r="I191" s="136" t="s">
        <v>232</v>
      </c>
      <c r="J191" s="48">
        <v>45770</v>
      </c>
      <c r="K191" s="49">
        <v>5803</v>
      </c>
      <c r="L191" s="50" t="s">
        <v>509</v>
      </c>
      <c r="M191" s="48"/>
      <c r="N191" s="75" t="s">
        <v>229</v>
      </c>
      <c r="R191" s="72"/>
      <c r="S191" s="48"/>
      <c r="T191" s="48" t="s">
        <v>145</v>
      </c>
      <c r="U191" s="48"/>
      <c r="V191" s="48"/>
    </row>
    <row r="192" spans="1:23" hidden="1" x14ac:dyDescent="0.25">
      <c r="A192" s="152">
        <f t="shared" si="11"/>
        <v>186</v>
      </c>
      <c r="B192" s="46" t="s">
        <v>510</v>
      </c>
      <c r="C192" s="46" t="s">
        <v>144</v>
      </c>
      <c r="D192" s="46" t="s">
        <v>160</v>
      </c>
      <c r="G192" s="135" t="s">
        <v>227</v>
      </c>
      <c r="H192" s="135">
        <v>901432585</v>
      </c>
      <c r="I192" s="151" t="s">
        <v>267</v>
      </c>
      <c r="J192" s="48">
        <v>45770</v>
      </c>
      <c r="K192" s="49">
        <v>5804</v>
      </c>
      <c r="L192" s="50" t="s">
        <v>511</v>
      </c>
      <c r="M192" s="48"/>
      <c r="N192" s="75" t="s">
        <v>229</v>
      </c>
      <c r="R192" s="72"/>
      <c r="S192" s="48"/>
      <c r="T192" s="48" t="s">
        <v>145</v>
      </c>
      <c r="U192" s="48"/>
      <c r="V192" s="48"/>
    </row>
    <row r="193" spans="1:23" hidden="1" x14ac:dyDescent="0.25">
      <c r="A193" s="152">
        <f t="shared" si="11"/>
        <v>187</v>
      </c>
      <c r="B193" s="46" t="s">
        <v>512</v>
      </c>
      <c r="C193" s="46" t="s">
        <v>144</v>
      </c>
      <c r="D193" s="46" t="s">
        <v>160</v>
      </c>
      <c r="G193" s="135" t="s">
        <v>227</v>
      </c>
      <c r="H193" s="135">
        <v>901432585</v>
      </c>
      <c r="I193" s="159" t="s">
        <v>474</v>
      </c>
      <c r="J193" s="48">
        <v>45770</v>
      </c>
      <c r="K193" s="49">
        <v>5805</v>
      </c>
      <c r="L193" s="50" t="s">
        <v>513</v>
      </c>
      <c r="M193" s="48"/>
      <c r="N193" s="75" t="s">
        <v>229</v>
      </c>
      <c r="R193" s="72"/>
      <c r="S193" s="48"/>
      <c r="T193" s="48" t="s">
        <v>145</v>
      </c>
      <c r="U193" s="48"/>
      <c r="V193" s="48"/>
    </row>
    <row r="194" spans="1:23" hidden="1" x14ac:dyDescent="0.25">
      <c r="A194" s="152">
        <f t="shared" si="11"/>
        <v>188</v>
      </c>
      <c r="B194" s="46" t="s">
        <v>514</v>
      </c>
      <c r="C194" s="46" t="s">
        <v>144</v>
      </c>
      <c r="D194" s="46" t="s">
        <v>159</v>
      </c>
      <c r="E194" s="152" t="s">
        <v>515</v>
      </c>
      <c r="F194" s="152">
        <v>14705</v>
      </c>
      <c r="G194" s="46" t="s">
        <v>227</v>
      </c>
      <c r="H194" s="46">
        <v>901432582</v>
      </c>
      <c r="I194" s="56" t="s">
        <v>232</v>
      </c>
      <c r="J194" s="48">
        <v>45775</v>
      </c>
      <c r="K194" s="46">
        <v>15597</v>
      </c>
      <c r="L194" s="50" t="s">
        <v>434</v>
      </c>
      <c r="M194" s="48">
        <v>45786</v>
      </c>
      <c r="N194" s="75" t="s">
        <v>210</v>
      </c>
      <c r="R194" s="72"/>
      <c r="S194" s="48"/>
      <c r="T194" s="48" t="s">
        <v>145</v>
      </c>
      <c r="U194" s="48"/>
      <c r="V194" s="48"/>
    </row>
    <row r="195" spans="1:23" hidden="1" x14ac:dyDescent="0.25">
      <c r="A195" s="152">
        <f t="shared" si="11"/>
        <v>189</v>
      </c>
      <c r="B195" s="46" t="s">
        <v>516</v>
      </c>
      <c r="C195" s="46" t="s">
        <v>144</v>
      </c>
      <c r="D195" s="46" t="s">
        <v>159</v>
      </c>
      <c r="E195" s="152" t="s">
        <v>515</v>
      </c>
      <c r="F195" s="152">
        <v>14705</v>
      </c>
      <c r="G195" s="46" t="s">
        <v>227</v>
      </c>
      <c r="H195" s="46">
        <v>901432582</v>
      </c>
      <c r="I195" s="56" t="s">
        <v>267</v>
      </c>
      <c r="J195" s="48">
        <v>45775</v>
      </c>
      <c r="K195" s="46">
        <v>15598</v>
      </c>
      <c r="L195" s="50" t="s">
        <v>437</v>
      </c>
      <c r="M195" s="48">
        <v>45786</v>
      </c>
      <c r="N195" s="75" t="s">
        <v>210</v>
      </c>
      <c r="R195" s="72"/>
      <c r="S195" s="48"/>
      <c r="T195" s="48" t="s">
        <v>145</v>
      </c>
      <c r="U195" s="48"/>
      <c r="V195" s="48"/>
    </row>
    <row r="196" spans="1:23" hidden="1" x14ac:dyDescent="0.25">
      <c r="A196" s="152">
        <f t="shared" si="11"/>
        <v>190</v>
      </c>
      <c r="B196" s="46" t="s">
        <v>517</v>
      </c>
      <c r="C196" s="46" t="s">
        <v>144</v>
      </c>
      <c r="D196" s="46" t="s">
        <v>159</v>
      </c>
      <c r="E196" s="152" t="s">
        <v>515</v>
      </c>
      <c r="F196" s="152">
        <v>14705</v>
      </c>
      <c r="G196" s="46" t="s">
        <v>227</v>
      </c>
      <c r="H196" s="46">
        <v>901432582</v>
      </c>
      <c r="I196" s="56" t="s">
        <v>474</v>
      </c>
      <c r="J196" s="48">
        <v>45775</v>
      </c>
      <c r="K196" s="46">
        <v>15599</v>
      </c>
      <c r="L196" s="50" t="s">
        <v>518</v>
      </c>
      <c r="M196" s="48">
        <v>45786</v>
      </c>
      <c r="N196" s="75" t="s">
        <v>210</v>
      </c>
      <c r="R196" s="72"/>
      <c r="S196" s="48"/>
      <c r="T196" s="48" t="s">
        <v>145</v>
      </c>
      <c r="U196" s="48"/>
      <c r="V196" s="48"/>
    </row>
    <row r="197" spans="1:23" hidden="1" x14ac:dyDescent="0.25">
      <c r="A197" s="152">
        <f t="shared" si="11"/>
        <v>191</v>
      </c>
      <c r="B197" s="46" t="s">
        <v>519</v>
      </c>
      <c r="C197" s="46" t="s">
        <v>144</v>
      </c>
      <c r="D197" s="46" t="s">
        <v>161</v>
      </c>
      <c r="E197" s="152" t="s">
        <v>520</v>
      </c>
      <c r="F197" s="152" t="s">
        <v>521</v>
      </c>
      <c r="G197" s="46" t="s">
        <v>227</v>
      </c>
      <c r="H197" s="46">
        <v>901432582</v>
      </c>
      <c r="I197" s="136" t="s">
        <v>232</v>
      </c>
      <c r="J197" s="48">
        <v>45777</v>
      </c>
      <c r="K197" s="49">
        <v>63972792</v>
      </c>
      <c r="L197" s="50" t="s">
        <v>522</v>
      </c>
      <c r="M197" s="48">
        <v>45785</v>
      </c>
      <c r="N197" s="75" t="s">
        <v>229</v>
      </c>
      <c r="R197" s="72"/>
      <c r="S197" s="48"/>
      <c r="T197" s="48" t="s">
        <v>145</v>
      </c>
      <c r="U197" s="48"/>
      <c r="V197" s="48"/>
      <c r="W197" s="48" t="s">
        <v>383</v>
      </c>
    </row>
    <row r="198" spans="1:23" hidden="1" x14ac:dyDescent="0.25">
      <c r="A198" s="152">
        <f t="shared" si="11"/>
        <v>192</v>
      </c>
      <c r="B198" s="46" t="s">
        <v>523</v>
      </c>
      <c r="C198" s="46" t="s">
        <v>144</v>
      </c>
      <c r="D198" s="46" t="s">
        <v>161</v>
      </c>
      <c r="E198" s="152" t="s">
        <v>520</v>
      </c>
      <c r="F198" s="152" t="s">
        <v>521</v>
      </c>
      <c r="G198" s="135" t="s">
        <v>227</v>
      </c>
      <c r="H198" s="46">
        <v>901432582</v>
      </c>
      <c r="I198" s="136" t="s">
        <v>232</v>
      </c>
      <c r="J198" s="48">
        <v>45777</v>
      </c>
      <c r="K198" s="49">
        <v>63972805</v>
      </c>
      <c r="L198" s="46">
        <v>1799107</v>
      </c>
      <c r="M198" s="48">
        <v>45785</v>
      </c>
      <c r="N198" s="75" t="s">
        <v>229</v>
      </c>
      <c r="R198" s="72"/>
      <c r="S198" s="48"/>
      <c r="U198" s="48"/>
      <c r="V198" s="48"/>
    </row>
    <row r="199" spans="1:23" hidden="1" x14ac:dyDescent="0.25">
      <c r="A199" s="152">
        <f t="shared" si="11"/>
        <v>193</v>
      </c>
      <c r="B199" s="46" t="s">
        <v>524</v>
      </c>
      <c r="C199" s="46" t="s">
        <v>144</v>
      </c>
      <c r="D199" s="46" t="s">
        <v>161</v>
      </c>
      <c r="E199" s="152" t="s">
        <v>520</v>
      </c>
      <c r="F199" s="152" t="s">
        <v>521</v>
      </c>
      <c r="G199" s="135" t="s">
        <v>227</v>
      </c>
      <c r="H199" s="46">
        <v>901432582</v>
      </c>
      <c r="I199" s="136" t="s">
        <v>232</v>
      </c>
      <c r="J199" s="48">
        <v>45777</v>
      </c>
      <c r="K199" s="49">
        <v>63961245</v>
      </c>
      <c r="L199" s="50" t="s">
        <v>525</v>
      </c>
      <c r="N199" s="75" t="s">
        <v>229</v>
      </c>
      <c r="R199" s="72"/>
      <c r="S199" s="48"/>
      <c r="U199" s="48"/>
      <c r="V199" s="48"/>
    </row>
    <row r="200" spans="1:23" hidden="1" x14ac:dyDescent="0.25">
      <c r="A200" s="152">
        <f t="shared" si="11"/>
        <v>194</v>
      </c>
      <c r="B200" s="155" t="s">
        <v>526</v>
      </c>
      <c r="C200" s="155" t="s">
        <v>144</v>
      </c>
      <c r="D200" s="155" t="s">
        <v>160</v>
      </c>
      <c r="E200" s="211"/>
      <c r="F200" s="211"/>
      <c r="G200" s="156" t="s">
        <v>227</v>
      </c>
      <c r="H200" s="46">
        <v>901432582</v>
      </c>
      <c r="I200" s="157" t="s">
        <v>232</v>
      </c>
      <c r="J200" s="158">
        <v>45784</v>
      </c>
      <c r="K200" s="155">
        <v>5922</v>
      </c>
      <c r="L200" s="155">
        <v>9580390</v>
      </c>
      <c r="M200" s="158">
        <v>45803</v>
      </c>
      <c r="N200" s="75" t="s">
        <v>229</v>
      </c>
      <c r="R200" s="72"/>
      <c r="S200" s="48"/>
      <c r="U200" s="48"/>
      <c r="V200" s="48"/>
    </row>
    <row r="201" spans="1:23" hidden="1" x14ac:dyDescent="0.25">
      <c r="A201" s="152">
        <f t="shared" si="11"/>
        <v>195</v>
      </c>
      <c r="B201" s="155" t="s">
        <v>527</v>
      </c>
      <c r="C201" s="155" t="s">
        <v>144</v>
      </c>
      <c r="D201" s="155" t="s">
        <v>160</v>
      </c>
      <c r="E201" s="211"/>
      <c r="F201" s="211"/>
      <c r="G201" s="156" t="s">
        <v>227</v>
      </c>
      <c r="H201" s="46">
        <v>901432582</v>
      </c>
      <c r="I201" s="157" t="s">
        <v>267</v>
      </c>
      <c r="J201" s="158">
        <v>45784</v>
      </c>
      <c r="K201" s="155">
        <v>5923</v>
      </c>
      <c r="L201" s="50" t="s">
        <v>511</v>
      </c>
      <c r="M201" s="158">
        <v>45803</v>
      </c>
      <c r="N201" s="75" t="s">
        <v>229</v>
      </c>
      <c r="R201" s="72"/>
      <c r="S201" s="48"/>
      <c r="U201" s="48"/>
      <c r="V201" s="48"/>
    </row>
    <row r="202" spans="1:23" hidden="1" x14ac:dyDescent="0.25">
      <c r="A202" s="152">
        <f t="shared" si="11"/>
        <v>196</v>
      </c>
      <c r="B202" s="155" t="s">
        <v>528</v>
      </c>
      <c r="C202" s="155" t="s">
        <v>144</v>
      </c>
      <c r="D202" s="155" t="s">
        <v>160</v>
      </c>
      <c r="E202" s="211"/>
      <c r="F202" s="211"/>
      <c r="G202" s="156" t="s">
        <v>227</v>
      </c>
      <c r="H202" s="46">
        <v>901432582</v>
      </c>
      <c r="I202" s="157" t="s">
        <v>529</v>
      </c>
      <c r="J202" s="158">
        <v>45784</v>
      </c>
      <c r="K202" s="155">
        <v>5924</v>
      </c>
      <c r="L202" s="50" t="s">
        <v>530</v>
      </c>
      <c r="M202" s="158">
        <v>45803</v>
      </c>
      <c r="N202" s="75" t="s">
        <v>229</v>
      </c>
      <c r="R202" s="72"/>
      <c r="S202" s="48"/>
      <c r="U202" s="48"/>
      <c r="V202" s="48"/>
    </row>
    <row r="203" spans="1:23" hidden="1" x14ac:dyDescent="0.25">
      <c r="A203" s="152">
        <f t="shared" si="11"/>
        <v>197</v>
      </c>
      <c r="B203" s="46" t="s">
        <v>531</v>
      </c>
      <c r="C203" s="46" t="s">
        <v>144</v>
      </c>
      <c r="D203" s="46" t="s">
        <v>153</v>
      </c>
      <c r="E203" s="222" t="s">
        <v>532</v>
      </c>
      <c r="F203" s="222" t="s">
        <v>533</v>
      </c>
      <c r="G203" s="156" t="s">
        <v>227</v>
      </c>
      <c r="H203" s="46">
        <v>901432582</v>
      </c>
      <c r="I203" s="151" t="s">
        <v>232</v>
      </c>
      <c r="J203" s="48">
        <v>45784</v>
      </c>
      <c r="K203" s="49">
        <v>4192</v>
      </c>
      <c r="L203" s="50" t="s">
        <v>241</v>
      </c>
      <c r="M203" s="48">
        <v>45818</v>
      </c>
      <c r="N203" s="75" t="s">
        <v>534</v>
      </c>
      <c r="R203" s="72"/>
      <c r="S203" s="48"/>
      <c r="U203" s="48"/>
      <c r="V203" s="48"/>
    </row>
    <row r="204" spans="1:23" hidden="1" x14ac:dyDescent="0.25">
      <c r="A204" s="152">
        <f t="shared" si="11"/>
        <v>198</v>
      </c>
      <c r="B204" s="46" t="s">
        <v>535</v>
      </c>
      <c r="C204" s="46" t="s">
        <v>144</v>
      </c>
      <c r="D204" s="46" t="s">
        <v>153</v>
      </c>
      <c r="E204" s="222" t="s">
        <v>532</v>
      </c>
      <c r="F204" s="222" t="s">
        <v>533</v>
      </c>
      <c r="G204" s="156" t="s">
        <v>227</v>
      </c>
      <c r="H204" s="46">
        <v>901432582</v>
      </c>
      <c r="I204" s="151" t="s">
        <v>267</v>
      </c>
      <c r="J204" s="48">
        <v>45784</v>
      </c>
      <c r="K204" s="49">
        <v>4193</v>
      </c>
      <c r="L204" s="50" t="s">
        <v>268</v>
      </c>
      <c r="M204" s="48">
        <v>45818</v>
      </c>
      <c r="N204" s="75" t="s">
        <v>534</v>
      </c>
      <c r="R204" s="72"/>
      <c r="S204" s="48"/>
      <c r="U204" s="48"/>
      <c r="V204" s="48"/>
    </row>
    <row r="205" spans="1:23" hidden="1" x14ac:dyDescent="0.25">
      <c r="A205" s="152">
        <f t="shared" si="11"/>
        <v>199</v>
      </c>
      <c r="B205" s="46" t="s">
        <v>536</v>
      </c>
      <c r="C205" s="46" t="s">
        <v>144</v>
      </c>
      <c r="D205" s="46" t="s">
        <v>153</v>
      </c>
      <c r="E205" s="222" t="s">
        <v>532</v>
      </c>
      <c r="F205" s="222" t="s">
        <v>533</v>
      </c>
      <c r="G205" s="156" t="s">
        <v>227</v>
      </c>
      <c r="H205" s="46">
        <v>901432582</v>
      </c>
      <c r="I205" s="151" t="s">
        <v>537</v>
      </c>
      <c r="J205" s="48">
        <v>45784</v>
      </c>
      <c r="K205" s="49">
        <v>4194</v>
      </c>
      <c r="L205" s="50" t="s">
        <v>538</v>
      </c>
      <c r="M205" s="48">
        <v>45818</v>
      </c>
      <c r="N205" s="75" t="s">
        <v>534</v>
      </c>
      <c r="R205" s="72"/>
      <c r="S205" s="48"/>
      <c r="U205" s="48"/>
      <c r="V205" s="48"/>
    </row>
    <row r="206" spans="1:23" hidden="1" x14ac:dyDescent="0.25">
      <c r="A206" s="152">
        <f t="shared" si="11"/>
        <v>200</v>
      </c>
      <c r="B206" s="46" t="s">
        <v>539</v>
      </c>
      <c r="C206" s="46" t="s">
        <v>144</v>
      </c>
      <c r="D206" s="46" t="s">
        <v>153</v>
      </c>
      <c r="E206" s="152" t="s">
        <v>540</v>
      </c>
      <c r="F206" s="152" t="s">
        <v>541</v>
      </c>
      <c r="G206" s="156" t="s">
        <v>227</v>
      </c>
      <c r="H206" s="46">
        <v>901432583</v>
      </c>
      <c r="I206" s="151" t="s">
        <v>232</v>
      </c>
      <c r="J206" s="48">
        <v>45784</v>
      </c>
      <c r="K206" s="49">
        <v>4185</v>
      </c>
      <c r="L206" s="50" t="s">
        <v>241</v>
      </c>
      <c r="M206" s="48">
        <v>45807</v>
      </c>
      <c r="N206" s="75" t="s">
        <v>542</v>
      </c>
      <c r="R206" s="72"/>
      <c r="S206" s="48"/>
      <c r="U206" s="48"/>
      <c r="V206" s="48"/>
    </row>
    <row r="207" spans="1:23" hidden="1" x14ac:dyDescent="0.25">
      <c r="A207" s="152">
        <f t="shared" si="11"/>
        <v>201</v>
      </c>
      <c r="B207" s="46" t="s">
        <v>543</v>
      </c>
      <c r="C207" s="46" t="s">
        <v>144</v>
      </c>
      <c r="D207" s="46" t="s">
        <v>153</v>
      </c>
      <c r="E207" s="152" t="s">
        <v>540</v>
      </c>
      <c r="F207" s="152" t="s">
        <v>541</v>
      </c>
      <c r="G207" s="156" t="s">
        <v>227</v>
      </c>
      <c r="H207" s="46">
        <v>901432584</v>
      </c>
      <c r="I207" s="151" t="s">
        <v>267</v>
      </c>
      <c r="J207" s="48">
        <v>45784</v>
      </c>
      <c r="K207" s="49">
        <v>4186</v>
      </c>
      <c r="L207" s="50" t="s">
        <v>268</v>
      </c>
      <c r="M207" s="48">
        <v>45807</v>
      </c>
      <c r="N207" s="75" t="s">
        <v>542</v>
      </c>
      <c r="R207" s="72"/>
      <c r="S207" s="48"/>
      <c r="U207" s="48"/>
      <c r="V207" s="48"/>
    </row>
    <row r="208" spans="1:23" hidden="1" x14ac:dyDescent="0.25">
      <c r="A208" s="152">
        <f t="shared" si="11"/>
        <v>202</v>
      </c>
      <c r="B208" s="46" t="s">
        <v>544</v>
      </c>
      <c r="C208" s="46" t="s">
        <v>144</v>
      </c>
      <c r="D208" s="46" t="s">
        <v>153</v>
      </c>
      <c r="G208" s="156" t="s">
        <v>227</v>
      </c>
      <c r="H208" s="46">
        <v>901432585</v>
      </c>
      <c r="I208" s="151" t="s">
        <v>529</v>
      </c>
      <c r="J208" s="48">
        <v>45784</v>
      </c>
      <c r="K208" s="49">
        <v>4188</v>
      </c>
      <c r="L208" s="50" t="s">
        <v>545</v>
      </c>
      <c r="N208" s="75" t="s">
        <v>229</v>
      </c>
      <c r="R208" s="72"/>
      <c r="S208" s="48"/>
      <c r="U208" s="48"/>
      <c r="V208" s="48"/>
      <c r="W208" s="48" t="s">
        <v>546</v>
      </c>
    </row>
    <row r="209" spans="1:23" hidden="1" x14ac:dyDescent="0.25">
      <c r="A209" s="152">
        <f t="shared" si="11"/>
        <v>203</v>
      </c>
      <c r="B209" s="46" t="s">
        <v>547</v>
      </c>
      <c r="C209" s="46" t="s">
        <v>144</v>
      </c>
      <c r="D209" s="46" t="s">
        <v>153</v>
      </c>
      <c r="E209" s="222" t="s">
        <v>548</v>
      </c>
      <c r="F209" s="222" t="s">
        <v>549</v>
      </c>
      <c r="G209" s="156" t="s">
        <v>227</v>
      </c>
      <c r="H209" s="46">
        <v>901432586</v>
      </c>
      <c r="I209" s="151" t="s">
        <v>232</v>
      </c>
      <c r="J209" s="48">
        <v>45784</v>
      </c>
      <c r="K209" s="49">
        <v>4189</v>
      </c>
      <c r="L209" s="50" t="s">
        <v>241</v>
      </c>
      <c r="M209" s="48">
        <v>45818</v>
      </c>
      <c r="N209" s="75" t="s">
        <v>542</v>
      </c>
      <c r="R209" s="72"/>
      <c r="S209" s="48"/>
      <c r="U209" s="48"/>
      <c r="V209" s="48"/>
    </row>
    <row r="210" spans="1:23" hidden="1" x14ac:dyDescent="0.25">
      <c r="A210" s="152">
        <f t="shared" si="11"/>
        <v>204</v>
      </c>
      <c r="B210" s="46" t="s">
        <v>550</v>
      </c>
      <c r="C210" s="46" t="s">
        <v>144</v>
      </c>
      <c r="D210" s="46" t="s">
        <v>153</v>
      </c>
      <c r="E210" s="152" t="s">
        <v>548</v>
      </c>
      <c r="F210" s="222" t="s">
        <v>549</v>
      </c>
      <c r="G210" s="156" t="s">
        <v>227</v>
      </c>
      <c r="H210" s="46">
        <v>901432587</v>
      </c>
      <c r="I210" s="151" t="s">
        <v>267</v>
      </c>
      <c r="J210" s="48">
        <v>45784</v>
      </c>
      <c r="K210" s="49">
        <v>4190</v>
      </c>
      <c r="L210" s="50" t="s">
        <v>268</v>
      </c>
      <c r="M210" s="48">
        <v>45818</v>
      </c>
      <c r="N210" s="75" t="s">
        <v>542</v>
      </c>
      <c r="R210" s="72"/>
      <c r="S210" s="48"/>
      <c r="U210" s="48"/>
      <c r="V210" s="48"/>
    </row>
    <row r="211" spans="1:23" hidden="1" x14ac:dyDescent="0.25">
      <c r="A211" s="152">
        <f t="shared" si="11"/>
        <v>205</v>
      </c>
      <c r="B211" s="46" t="s">
        <v>551</v>
      </c>
      <c r="C211" s="46" t="s">
        <v>144</v>
      </c>
      <c r="D211" s="46" t="s">
        <v>153</v>
      </c>
      <c r="G211" s="156" t="s">
        <v>227</v>
      </c>
      <c r="H211" s="46">
        <v>901432588</v>
      </c>
      <c r="I211" s="151" t="s">
        <v>529</v>
      </c>
      <c r="J211" s="48">
        <v>45784</v>
      </c>
      <c r="K211" s="49">
        <v>4191</v>
      </c>
      <c r="L211" s="50" t="s">
        <v>545</v>
      </c>
      <c r="N211" s="75" t="s">
        <v>229</v>
      </c>
      <c r="R211" s="72"/>
      <c r="S211" s="48"/>
      <c r="U211" s="48"/>
      <c r="V211" s="48"/>
      <c r="W211" s="48" t="s">
        <v>552</v>
      </c>
    </row>
    <row r="212" spans="1:23" hidden="1" x14ac:dyDescent="0.25">
      <c r="A212" s="152">
        <f t="shared" si="11"/>
        <v>206</v>
      </c>
      <c r="B212" s="46" t="s">
        <v>553</v>
      </c>
      <c r="C212" s="46" t="s">
        <v>144</v>
      </c>
      <c r="D212" s="46" t="s">
        <v>153</v>
      </c>
      <c r="G212" s="156" t="s">
        <v>227</v>
      </c>
      <c r="H212" s="46">
        <v>901432582</v>
      </c>
      <c r="I212" s="136" t="s">
        <v>232</v>
      </c>
      <c r="J212" s="48">
        <v>45784</v>
      </c>
      <c r="K212" s="49">
        <v>4195</v>
      </c>
      <c r="L212" s="50" t="s">
        <v>241</v>
      </c>
      <c r="N212" s="75" t="s">
        <v>229</v>
      </c>
      <c r="R212" s="72"/>
      <c r="S212" s="48"/>
      <c r="U212" s="48"/>
      <c r="V212" s="48"/>
    </row>
    <row r="213" spans="1:23" hidden="1" x14ac:dyDescent="0.25">
      <c r="A213" s="152">
        <f t="shared" si="11"/>
        <v>207</v>
      </c>
      <c r="B213" s="46" t="s">
        <v>554</v>
      </c>
      <c r="C213" s="46" t="s">
        <v>144</v>
      </c>
      <c r="D213" s="46" t="s">
        <v>153</v>
      </c>
      <c r="G213" s="156" t="s">
        <v>227</v>
      </c>
      <c r="H213" s="46">
        <v>901432582</v>
      </c>
      <c r="I213" s="151" t="s">
        <v>267</v>
      </c>
      <c r="J213" s="48">
        <v>45784</v>
      </c>
      <c r="K213" s="49">
        <v>4196</v>
      </c>
      <c r="L213" s="50" t="s">
        <v>268</v>
      </c>
      <c r="N213" s="75" t="s">
        <v>229</v>
      </c>
      <c r="R213" s="72"/>
      <c r="S213" s="48"/>
      <c r="U213" s="48"/>
      <c r="V213" s="48"/>
    </row>
    <row r="214" spans="1:23" hidden="1" x14ac:dyDescent="0.25">
      <c r="A214" s="152">
        <f t="shared" si="11"/>
        <v>208</v>
      </c>
      <c r="B214" s="46" t="s">
        <v>555</v>
      </c>
      <c r="C214" s="46" t="s">
        <v>144</v>
      </c>
      <c r="D214" s="46" t="s">
        <v>153</v>
      </c>
      <c r="G214" s="156" t="s">
        <v>227</v>
      </c>
      <c r="H214" s="46">
        <v>901432582</v>
      </c>
      <c r="I214" s="151" t="s">
        <v>537</v>
      </c>
      <c r="J214" s="48">
        <v>45784</v>
      </c>
      <c r="K214" s="49">
        <v>4197</v>
      </c>
      <c r="L214" s="50" t="s">
        <v>538</v>
      </c>
      <c r="N214" s="75" t="s">
        <v>229</v>
      </c>
      <c r="R214" s="72"/>
      <c r="S214" s="48"/>
      <c r="U214" s="48"/>
      <c r="V214" s="48"/>
    </row>
    <row r="215" spans="1:23" hidden="1" x14ac:dyDescent="0.25">
      <c r="A215" s="152">
        <f t="shared" si="11"/>
        <v>209</v>
      </c>
      <c r="B215" s="46" t="s">
        <v>556</v>
      </c>
      <c r="C215" s="46" t="s">
        <v>144</v>
      </c>
      <c r="D215" s="46" t="s">
        <v>153</v>
      </c>
      <c r="G215" s="156" t="s">
        <v>227</v>
      </c>
      <c r="H215" s="46">
        <v>901432582</v>
      </c>
      <c r="I215" s="136" t="s">
        <v>232</v>
      </c>
      <c r="J215" s="48">
        <v>45785</v>
      </c>
      <c r="K215" s="49">
        <v>4198</v>
      </c>
      <c r="L215" s="50" t="s">
        <v>241</v>
      </c>
      <c r="N215" s="75" t="s">
        <v>229</v>
      </c>
      <c r="R215" s="72"/>
      <c r="S215" s="48"/>
      <c r="U215" s="48"/>
      <c r="V215" s="48"/>
    </row>
    <row r="216" spans="1:23" hidden="1" x14ac:dyDescent="0.25">
      <c r="A216" s="152">
        <f t="shared" si="11"/>
        <v>210</v>
      </c>
      <c r="B216" s="46" t="s">
        <v>557</v>
      </c>
      <c r="C216" s="46" t="s">
        <v>144</v>
      </c>
      <c r="D216" s="46" t="s">
        <v>153</v>
      </c>
      <c r="G216" s="156" t="s">
        <v>227</v>
      </c>
      <c r="H216" s="46">
        <v>901432582</v>
      </c>
      <c r="I216" s="151" t="s">
        <v>267</v>
      </c>
      <c r="J216" s="48">
        <v>45785</v>
      </c>
      <c r="K216" s="49">
        <v>4199</v>
      </c>
      <c r="L216" s="50" t="s">
        <v>268</v>
      </c>
      <c r="N216" s="75" t="s">
        <v>229</v>
      </c>
      <c r="R216" s="72"/>
      <c r="S216" s="48"/>
      <c r="U216" s="48"/>
      <c r="V216" s="48"/>
    </row>
    <row r="217" spans="1:23" hidden="1" x14ac:dyDescent="0.25">
      <c r="A217" s="152">
        <f t="shared" si="11"/>
        <v>211</v>
      </c>
      <c r="B217" s="46" t="s">
        <v>558</v>
      </c>
      <c r="C217" s="46" t="s">
        <v>144</v>
      </c>
      <c r="D217" s="46" t="s">
        <v>153</v>
      </c>
      <c r="G217" s="156" t="s">
        <v>227</v>
      </c>
      <c r="H217" s="46">
        <v>901432582</v>
      </c>
      <c r="I217" s="151" t="s">
        <v>537</v>
      </c>
      <c r="J217" s="48">
        <v>45785</v>
      </c>
      <c r="K217" s="49">
        <v>4200</v>
      </c>
      <c r="L217" s="50" t="s">
        <v>538</v>
      </c>
      <c r="N217" s="75" t="s">
        <v>229</v>
      </c>
      <c r="R217" s="72"/>
      <c r="S217" s="48"/>
      <c r="U217" s="48"/>
      <c r="V217" s="48"/>
    </row>
    <row r="218" spans="1:23" hidden="1" x14ac:dyDescent="0.25">
      <c r="A218" s="152">
        <f t="shared" si="11"/>
        <v>212</v>
      </c>
      <c r="B218" s="46" t="s">
        <v>559</v>
      </c>
      <c r="C218" s="46" t="s">
        <v>144</v>
      </c>
      <c r="D218" s="46" t="s">
        <v>153</v>
      </c>
      <c r="G218" s="156" t="s">
        <v>227</v>
      </c>
      <c r="H218" s="46">
        <v>901432582</v>
      </c>
      <c r="I218" s="151" t="s">
        <v>232</v>
      </c>
      <c r="J218" s="48">
        <v>45785</v>
      </c>
      <c r="K218" s="49">
        <v>4201</v>
      </c>
      <c r="L218" s="50" t="s">
        <v>241</v>
      </c>
      <c r="N218" s="75" t="s">
        <v>229</v>
      </c>
      <c r="R218" s="72"/>
      <c r="S218" s="48"/>
      <c r="U218" s="48"/>
      <c r="V218" s="48"/>
    </row>
    <row r="219" spans="1:23" hidden="1" x14ac:dyDescent="0.25">
      <c r="A219" s="152">
        <f t="shared" si="11"/>
        <v>213</v>
      </c>
      <c r="B219" s="46" t="s">
        <v>560</v>
      </c>
      <c r="C219" s="46" t="s">
        <v>144</v>
      </c>
      <c r="D219" s="46" t="s">
        <v>153</v>
      </c>
      <c r="G219" s="156" t="s">
        <v>227</v>
      </c>
      <c r="H219" s="46">
        <v>901432582</v>
      </c>
      <c r="I219" s="151" t="s">
        <v>267</v>
      </c>
      <c r="J219" s="48">
        <v>45785</v>
      </c>
      <c r="K219" s="49">
        <v>4202</v>
      </c>
      <c r="L219" s="50" t="s">
        <v>268</v>
      </c>
      <c r="N219" s="75" t="s">
        <v>229</v>
      </c>
      <c r="R219" s="72"/>
      <c r="S219" s="48"/>
      <c r="U219" s="48"/>
      <c r="V219" s="48"/>
    </row>
    <row r="220" spans="1:23" hidden="1" x14ac:dyDescent="0.25">
      <c r="A220" s="152">
        <f t="shared" si="11"/>
        <v>214</v>
      </c>
      <c r="B220" s="46" t="s">
        <v>561</v>
      </c>
      <c r="C220" s="46" t="s">
        <v>144</v>
      </c>
      <c r="D220" s="46" t="s">
        <v>153</v>
      </c>
      <c r="G220" s="156" t="s">
        <v>227</v>
      </c>
      <c r="H220" s="46">
        <v>901432582</v>
      </c>
      <c r="I220" s="151" t="s">
        <v>537</v>
      </c>
      <c r="J220" s="48">
        <v>45785</v>
      </c>
      <c r="K220" s="49">
        <v>4203</v>
      </c>
      <c r="L220" s="50" t="s">
        <v>538</v>
      </c>
      <c r="N220" s="75" t="s">
        <v>229</v>
      </c>
      <c r="R220" s="72"/>
      <c r="S220" s="48"/>
      <c r="U220" s="48"/>
      <c r="V220" s="48"/>
    </row>
    <row r="221" spans="1:23" hidden="1" x14ac:dyDescent="0.25">
      <c r="A221" s="152">
        <f t="shared" ref="A221:A235" si="12">+A220+1</f>
        <v>215</v>
      </c>
      <c r="B221" s="46" t="s">
        <v>562</v>
      </c>
      <c r="C221" s="46" t="s">
        <v>144</v>
      </c>
      <c r="D221" s="46" t="s">
        <v>153</v>
      </c>
      <c r="E221" s="222" t="s">
        <v>532</v>
      </c>
      <c r="F221" s="222" t="s">
        <v>533</v>
      </c>
      <c r="G221" s="156" t="s">
        <v>227</v>
      </c>
      <c r="H221" s="46">
        <v>901432582</v>
      </c>
      <c r="I221" s="151" t="s">
        <v>232</v>
      </c>
      <c r="J221" s="48">
        <v>45785</v>
      </c>
      <c r="K221" s="49">
        <v>4204</v>
      </c>
      <c r="L221" s="50" t="s">
        <v>241</v>
      </c>
      <c r="M221" s="48">
        <v>45818</v>
      </c>
      <c r="N221" s="75" t="s">
        <v>542</v>
      </c>
      <c r="R221" s="72"/>
      <c r="S221" s="48"/>
      <c r="U221" s="48"/>
      <c r="V221" s="48"/>
    </row>
    <row r="222" spans="1:23" hidden="1" x14ac:dyDescent="0.25">
      <c r="A222" s="152">
        <f t="shared" si="12"/>
        <v>216</v>
      </c>
      <c r="B222" s="46" t="s">
        <v>563</v>
      </c>
      <c r="C222" s="46" t="s">
        <v>144</v>
      </c>
      <c r="D222" s="46" t="s">
        <v>153</v>
      </c>
      <c r="E222" s="222" t="s">
        <v>532</v>
      </c>
      <c r="F222" s="222" t="s">
        <v>533</v>
      </c>
      <c r="G222" s="156" t="s">
        <v>227</v>
      </c>
      <c r="H222" s="46">
        <v>901432582</v>
      </c>
      <c r="I222" s="151" t="s">
        <v>267</v>
      </c>
      <c r="J222" s="48">
        <v>45785</v>
      </c>
      <c r="K222" s="49">
        <v>4205</v>
      </c>
      <c r="L222" s="50" t="s">
        <v>268</v>
      </c>
      <c r="M222" s="48">
        <v>45818</v>
      </c>
      <c r="N222" s="75" t="s">
        <v>542</v>
      </c>
      <c r="R222" s="72"/>
      <c r="S222" s="48"/>
      <c r="U222" s="48"/>
      <c r="V222" s="48"/>
      <c r="W222" s="48" t="s">
        <v>564</v>
      </c>
    </row>
    <row r="223" spans="1:23" hidden="1" x14ac:dyDescent="0.25">
      <c r="A223" s="152">
        <f t="shared" si="12"/>
        <v>217</v>
      </c>
      <c r="B223" s="46" t="s">
        <v>565</v>
      </c>
      <c r="C223" s="46" t="s">
        <v>144</v>
      </c>
      <c r="D223" s="46" t="s">
        <v>153</v>
      </c>
      <c r="E223" s="222" t="s">
        <v>532</v>
      </c>
      <c r="F223" s="222" t="s">
        <v>533</v>
      </c>
      <c r="G223" s="156" t="s">
        <v>227</v>
      </c>
      <c r="H223" s="46">
        <v>901432582</v>
      </c>
      <c r="I223" s="151" t="s">
        <v>529</v>
      </c>
      <c r="J223" s="48">
        <v>45785</v>
      </c>
      <c r="K223" s="49">
        <v>4206</v>
      </c>
      <c r="L223" s="50" t="s">
        <v>545</v>
      </c>
      <c r="M223" s="48">
        <v>45818</v>
      </c>
      <c r="N223" s="75" t="s">
        <v>542</v>
      </c>
      <c r="R223" s="72"/>
      <c r="S223" s="48"/>
      <c r="U223" s="48"/>
      <c r="V223" s="48"/>
      <c r="W223" s="48" t="s">
        <v>564</v>
      </c>
    </row>
    <row r="224" spans="1:23" hidden="1" x14ac:dyDescent="0.25">
      <c r="A224" s="152">
        <f>+A223+1</f>
        <v>218</v>
      </c>
      <c r="B224" s="46" t="s">
        <v>566</v>
      </c>
      <c r="C224" s="46" t="s">
        <v>144</v>
      </c>
      <c r="D224" s="46" t="s">
        <v>161</v>
      </c>
      <c r="E224" s="222" t="s">
        <v>478</v>
      </c>
      <c r="F224" s="222">
        <v>86503</v>
      </c>
      <c r="G224" s="46" t="s">
        <v>227</v>
      </c>
      <c r="H224" s="46">
        <v>901432582</v>
      </c>
      <c r="I224" s="136" t="s">
        <v>232</v>
      </c>
      <c r="J224" s="48">
        <v>45785</v>
      </c>
      <c r="K224" s="49">
        <v>64107745</v>
      </c>
      <c r="L224" s="50" t="s">
        <v>567</v>
      </c>
      <c r="N224" s="75" t="s">
        <v>229</v>
      </c>
      <c r="R224" s="72"/>
      <c r="S224" s="48"/>
      <c r="T224" s="48" t="s">
        <v>145</v>
      </c>
      <c r="U224" s="48"/>
      <c r="V224" s="48"/>
      <c r="W224" s="48" t="s">
        <v>383</v>
      </c>
    </row>
    <row r="225" spans="1:23" hidden="1" x14ac:dyDescent="0.25">
      <c r="A225" s="152">
        <f>+A224+1</f>
        <v>219</v>
      </c>
      <c r="B225" s="46" t="s">
        <v>568</v>
      </c>
      <c r="C225" s="46" t="s">
        <v>144</v>
      </c>
      <c r="D225" s="46" t="s">
        <v>161</v>
      </c>
      <c r="G225" s="135" t="s">
        <v>227</v>
      </c>
      <c r="H225" s="46">
        <v>901432582</v>
      </c>
      <c r="I225" s="136" t="s">
        <v>232</v>
      </c>
      <c r="J225" s="48">
        <v>45785</v>
      </c>
      <c r="K225" s="49">
        <v>64107900</v>
      </c>
      <c r="L225" s="46">
        <v>1799689</v>
      </c>
      <c r="N225" s="75" t="s">
        <v>229</v>
      </c>
      <c r="R225" s="72"/>
      <c r="S225" s="48"/>
      <c r="T225" s="48" t="s">
        <v>145</v>
      </c>
      <c r="U225" s="48"/>
      <c r="V225" s="48"/>
      <c r="W225" s="48" t="s">
        <v>383</v>
      </c>
    </row>
    <row r="226" spans="1:23" hidden="1" x14ac:dyDescent="0.25">
      <c r="A226" s="152">
        <f>+A225+1</f>
        <v>220</v>
      </c>
      <c r="B226" s="46" t="s">
        <v>569</v>
      </c>
      <c r="C226" s="46" t="s">
        <v>144</v>
      </c>
      <c r="D226" s="46" t="s">
        <v>161</v>
      </c>
      <c r="G226" s="135" t="s">
        <v>227</v>
      </c>
      <c r="H226" s="46">
        <v>901432582</v>
      </c>
      <c r="I226" s="136" t="s">
        <v>232</v>
      </c>
      <c r="J226" s="48">
        <v>45785</v>
      </c>
      <c r="K226" s="49">
        <v>64108062</v>
      </c>
      <c r="L226" s="50" t="s">
        <v>570</v>
      </c>
      <c r="N226" s="75" t="s">
        <v>229</v>
      </c>
      <c r="R226" s="72"/>
      <c r="S226" s="48"/>
      <c r="T226" s="48" t="s">
        <v>145</v>
      </c>
      <c r="U226" s="48"/>
      <c r="V226" s="48"/>
      <c r="W226" s="48" t="s">
        <v>383</v>
      </c>
    </row>
    <row r="227" spans="1:23" hidden="1" x14ac:dyDescent="0.25">
      <c r="A227" s="152">
        <f t="shared" si="12"/>
        <v>221</v>
      </c>
      <c r="B227" s="46" t="s">
        <v>571</v>
      </c>
      <c r="C227" s="46" t="s">
        <v>144</v>
      </c>
      <c r="D227" s="46" t="s">
        <v>158</v>
      </c>
      <c r="G227" s="135" t="s">
        <v>227</v>
      </c>
      <c r="H227" s="46">
        <v>901432582</v>
      </c>
      <c r="I227" s="136" t="s">
        <v>232</v>
      </c>
      <c r="J227" s="48">
        <v>45785</v>
      </c>
      <c r="K227" s="49">
        <v>784241517</v>
      </c>
      <c r="L227" s="50"/>
      <c r="M227" s="48">
        <v>45799</v>
      </c>
      <c r="N227" s="75" t="s">
        <v>542</v>
      </c>
      <c r="R227" s="72"/>
      <c r="S227" s="48"/>
      <c r="U227" s="48"/>
      <c r="V227" s="48"/>
    </row>
    <row r="228" spans="1:23" hidden="1" x14ac:dyDescent="0.25">
      <c r="A228" s="152">
        <f t="shared" si="12"/>
        <v>222</v>
      </c>
      <c r="B228" s="46" t="s">
        <v>572</v>
      </c>
      <c r="C228" s="46" t="s">
        <v>144</v>
      </c>
      <c r="D228" s="46" t="s">
        <v>158</v>
      </c>
      <c r="G228" s="135" t="s">
        <v>227</v>
      </c>
      <c r="H228" s="46">
        <v>901432582</v>
      </c>
      <c r="I228" s="136" t="s">
        <v>232</v>
      </c>
      <c r="J228" s="48">
        <v>45785</v>
      </c>
      <c r="K228" s="49">
        <v>784252985</v>
      </c>
      <c r="L228" s="50"/>
      <c r="N228" s="75" t="s">
        <v>229</v>
      </c>
      <c r="R228" s="72"/>
      <c r="S228" s="48"/>
      <c r="U228" s="48"/>
      <c r="V228" s="48"/>
    </row>
    <row r="229" spans="1:23" hidden="1" x14ac:dyDescent="0.25">
      <c r="A229" s="152">
        <f t="shared" si="12"/>
        <v>223</v>
      </c>
      <c r="B229" s="46" t="s">
        <v>573</v>
      </c>
      <c r="C229" s="46" t="s">
        <v>144</v>
      </c>
      <c r="D229" s="46" t="s">
        <v>158</v>
      </c>
      <c r="G229" s="135" t="s">
        <v>227</v>
      </c>
      <c r="H229" s="46">
        <v>901432582</v>
      </c>
      <c r="I229" s="136" t="s">
        <v>232</v>
      </c>
      <c r="J229" s="48">
        <v>45785</v>
      </c>
      <c r="K229" s="49">
        <v>784261745</v>
      </c>
      <c r="L229" s="50"/>
      <c r="N229" s="75" t="s">
        <v>229</v>
      </c>
      <c r="R229" s="72"/>
      <c r="S229" s="48"/>
      <c r="U229" s="48"/>
      <c r="V229" s="48"/>
    </row>
    <row r="230" spans="1:23" hidden="1" x14ac:dyDescent="0.25">
      <c r="A230" s="152">
        <f t="shared" si="12"/>
        <v>224</v>
      </c>
      <c r="B230" s="46" t="s">
        <v>574</v>
      </c>
      <c r="C230" s="46" t="str">
        <f>+IF(EstadoSolicitudes[[#This Row],[Aprobado OR]]="Aprobado",EstadoSolicitudes[[#This Row],[Aprobado OR]],
IF(EstadoSolicitudes[[#This Row],[Aprobado OR]]="Cancelado",EstadoSolicitudes[[#This Row],[Aprobado OR]],
IF(EstadoSolicitudes[[#This Row],[Cargue estudio al OR]]&gt;1,"Verificación Técnica",
IF(EstadoSolicitudes[[#This Row],[Fecha solicitud estudio]]&gt;1,"Estudio de conexión",
IF(EstadoSolicitudes[[#This Row],[Insumos revisados]]="No",IF(EstadoSolicitudes[[#This Row],[Fecha entrega insumos OR]]&gt;1,"Evolti","Espera de insumos"),
"Evolti")))))</f>
        <v>Evolti</v>
      </c>
      <c r="D230" s="46" t="s">
        <v>159</v>
      </c>
      <c r="E230" s="152" t="s">
        <v>575</v>
      </c>
      <c r="F230" s="152">
        <v>15225</v>
      </c>
      <c r="G230" s="135" t="s">
        <v>227</v>
      </c>
      <c r="H230" s="46">
        <v>901432582</v>
      </c>
      <c r="I230" s="136" t="s">
        <v>232</v>
      </c>
      <c r="J230" s="48">
        <v>45785</v>
      </c>
      <c r="K230" s="49">
        <v>15611</v>
      </c>
      <c r="L230" s="50" t="s">
        <v>434</v>
      </c>
      <c r="M230" s="48">
        <v>45796</v>
      </c>
      <c r="N230" s="75" t="s">
        <v>210</v>
      </c>
      <c r="R230" s="72"/>
      <c r="S230" s="48"/>
      <c r="U230" s="48"/>
      <c r="V230" s="48"/>
    </row>
    <row r="231" spans="1:23" hidden="1" x14ac:dyDescent="0.25">
      <c r="A231" s="152">
        <f t="shared" si="12"/>
        <v>225</v>
      </c>
      <c r="B231" s="46" t="s">
        <v>576</v>
      </c>
      <c r="C231" s="46" t="str">
        <f>+IF(EstadoSolicitudes[[#This Row],[Aprobado OR]]="Aprobado",EstadoSolicitudes[[#This Row],[Aprobado OR]],
IF(EstadoSolicitudes[[#This Row],[Aprobado OR]]="Cancelado",EstadoSolicitudes[[#This Row],[Aprobado OR]],
IF(EstadoSolicitudes[[#This Row],[Cargue estudio al OR]]&gt;1,"Verificación Técnica",
IF(EstadoSolicitudes[[#This Row],[Fecha solicitud estudio]]&gt;1,"Estudio de conexión",
IF(EstadoSolicitudes[[#This Row],[Insumos revisados]]="No",IF(EstadoSolicitudes[[#This Row],[Fecha entrega insumos OR]]&gt;1,"Evolti","Espera de insumos"),
"Evolti")))))</f>
        <v>Evolti</v>
      </c>
      <c r="D231" s="46" t="s">
        <v>159</v>
      </c>
      <c r="E231" s="152" t="s">
        <v>575</v>
      </c>
      <c r="F231" s="152">
        <v>15225</v>
      </c>
      <c r="G231" s="135" t="s">
        <v>227</v>
      </c>
      <c r="H231" s="46">
        <v>901432582</v>
      </c>
      <c r="I231" s="159" t="s">
        <v>267</v>
      </c>
      <c r="J231" s="48">
        <v>45785</v>
      </c>
      <c r="K231" s="49">
        <v>15612</v>
      </c>
      <c r="L231" s="50" t="s">
        <v>437</v>
      </c>
      <c r="M231" s="48">
        <v>45796</v>
      </c>
      <c r="N231" s="75" t="s">
        <v>210</v>
      </c>
      <c r="R231" s="72"/>
      <c r="S231" s="48"/>
      <c r="U231" s="48"/>
      <c r="V231" s="48"/>
    </row>
    <row r="232" spans="1:23" hidden="1" x14ac:dyDescent="0.25">
      <c r="A232" s="152">
        <f t="shared" si="12"/>
        <v>226</v>
      </c>
      <c r="B232" s="46" t="s">
        <v>577</v>
      </c>
      <c r="C232" s="46" t="str">
        <f>+IF(EstadoSolicitudes[[#This Row],[Aprobado OR]]="Aprobado",EstadoSolicitudes[[#This Row],[Aprobado OR]],
IF(EstadoSolicitudes[[#This Row],[Aprobado OR]]="Cancelado",EstadoSolicitudes[[#This Row],[Aprobado OR]],
IF(EstadoSolicitudes[[#This Row],[Cargue estudio al OR]]&gt;1,"Verificación Técnica",
IF(EstadoSolicitudes[[#This Row],[Fecha solicitud estudio]]&gt;1,"Estudio de conexión",
IF(EstadoSolicitudes[[#This Row],[Insumos revisados]]="No",IF(EstadoSolicitudes[[#This Row],[Fecha entrega insumos OR]]&gt;1,"Evolti","Espera de insumos"),
"Evolti")))))</f>
        <v>Evolti</v>
      </c>
      <c r="D232" s="46" t="s">
        <v>159</v>
      </c>
      <c r="E232" s="152" t="s">
        <v>575</v>
      </c>
      <c r="F232" s="152">
        <v>15225</v>
      </c>
      <c r="G232" s="135" t="s">
        <v>227</v>
      </c>
      <c r="H232" s="46">
        <v>901432582</v>
      </c>
      <c r="I232" s="159" t="s">
        <v>537</v>
      </c>
      <c r="J232" s="48">
        <v>45785</v>
      </c>
      <c r="K232" s="49">
        <v>15613</v>
      </c>
      <c r="L232" s="50" t="s">
        <v>578</v>
      </c>
      <c r="M232" s="48">
        <v>45796</v>
      </c>
      <c r="N232" s="75" t="s">
        <v>210</v>
      </c>
      <c r="R232" s="72"/>
      <c r="S232" s="48"/>
      <c r="U232" s="48"/>
      <c r="V232" s="48"/>
    </row>
    <row r="233" spans="1:23" hidden="1" x14ac:dyDescent="0.25">
      <c r="A233" s="152">
        <f t="shared" si="12"/>
        <v>227</v>
      </c>
      <c r="B233" s="46" t="s">
        <v>579</v>
      </c>
      <c r="C233" s="46" t="s">
        <v>144</v>
      </c>
      <c r="D233" s="46" t="s">
        <v>158</v>
      </c>
      <c r="G233" s="135" t="s">
        <v>227</v>
      </c>
      <c r="H233" s="46">
        <v>901432582</v>
      </c>
      <c r="I233" s="136" t="s">
        <v>232</v>
      </c>
      <c r="J233" s="48">
        <v>45785</v>
      </c>
      <c r="K233" s="49">
        <v>784422340</v>
      </c>
      <c r="L233" s="50"/>
      <c r="M233" s="48">
        <v>45799</v>
      </c>
      <c r="N233" s="75" t="s">
        <v>229</v>
      </c>
      <c r="R233" s="72"/>
      <c r="S233" s="48"/>
      <c r="U233" s="48"/>
      <c r="V233" s="48"/>
    </row>
    <row r="234" spans="1:23" hidden="1" x14ac:dyDescent="0.25">
      <c r="A234" s="152">
        <f t="shared" si="12"/>
        <v>228</v>
      </c>
      <c r="B234" s="46" t="s">
        <v>580</v>
      </c>
      <c r="C234" s="46" t="s">
        <v>144</v>
      </c>
      <c r="D234" s="46" t="s">
        <v>158</v>
      </c>
      <c r="G234" s="135" t="s">
        <v>227</v>
      </c>
      <c r="H234" s="46">
        <v>901432582</v>
      </c>
      <c r="I234" s="136" t="s">
        <v>232</v>
      </c>
      <c r="J234" s="48">
        <v>45785</v>
      </c>
      <c r="K234" s="49">
        <v>784430189</v>
      </c>
      <c r="L234" s="50"/>
      <c r="N234" s="75" t="s">
        <v>229</v>
      </c>
      <c r="R234" s="72"/>
      <c r="S234" s="48"/>
      <c r="U234" s="48"/>
      <c r="V234" s="48"/>
    </row>
    <row r="235" spans="1:23" hidden="1" x14ac:dyDescent="0.25">
      <c r="A235" s="152">
        <f t="shared" si="12"/>
        <v>229</v>
      </c>
      <c r="B235" s="46" t="s">
        <v>581</v>
      </c>
      <c r="C235" s="46" t="s">
        <v>144</v>
      </c>
      <c r="D235" s="46" t="s">
        <v>158</v>
      </c>
      <c r="G235" s="135" t="s">
        <v>227</v>
      </c>
      <c r="H235" s="46">
        <v>901432582</v>
      </c>
      <c r="I235" s="136" t="s">
        <v>232</v>
      </c>
      <c r="J235" s="48">
        <v>45785</v>
      </c>
      <c r="K235" s="49">
        <v>784436701</v>
      </c>
      <c r="L235" s="50"/>
      <c r="N235" s="75" t="s">
        <v>229</v>
      </c>
      <c r="R235" s="72"/>
      <c r="S235" s="48"/>
      <c r="U235" s="48"/>
      <c r="V235" s="48"/>
    </row>
    <row r="236" spans="1:23" hidden="1" x14ac:dyDescent="0.25">
      <c r="A236" s="152">
        <f t="shared" ref="A236:A247" si="13">+A235+1</f>
        <v>230</v>
      </c>
      <c r="B236" s="46" t="s">
        <v>582</v>
      </c>
      <c r="C236" s="46" t="s">
        <v>144</v>
      </c>
      <c r="D236" s="46" t="s">
        <v>155</v>
      </c>
      <c r="E236" s="152" t="s">
        <v>583</v>
      </c>
      <c r="F236" s="152" t="s">
        <v>584</v>
      </c>
      <c r="G236" s="135" t="s">
        <v>227</v>
      </c>
      <c r="H236" s="46">
        <v>901432582</v>
      </c>
      <c r="I236" s="136" t="s">
        <v>232</v>
      </c>
      <c r="J236" s="48" t="s">
        <v>537</v>
      </c>
      <c r="K236" s="49">
        <v>37541</v>
      </c>
      <c r="L236" s="50"/>
      <c r="M236" s="48">
        <v>45813</v>
      </c>
      <c r="N236" s="75" t="s">
        <v>542</v>
      </c>
      <c r="R236" s="72"/>
      <c r="S236" s="48"/>
      <c r="U236" s="48"/>
      <c r="V236" s="48"/>
    </row>
    <row r="237" spans="1:23" hidden="1" x14ac:dyDescent="0.25">
      <c r="A237" s="152">
        <f t="shared" si="13"/>
        <v>231</v>
      </c>
      <c r="B237" s="46" t="s">
        <v>585</v>
      </c>
      <c r="C237" s="46" t="s">
        <v>144</v>
      </c>
      <c r="D237" s="46" t="s">
        <v>155</v>
      </c>
      <c r="E237" s="152" t="s">
        <v>583</v>
      </c>
      <c r="F237" s="152" t="s">
        <v>584</v>
      </c>
      <c r="G237" s="135" t="s">
        <v>227</v>
      </c>
      <c r="H237" s="46">
        <v>901432582</v>
      </c>
      <c r="I237" s="136" t="s">
        <v>232</v>
      </c>
      <c r="J237" s="48">
        <v>45786</v>
      </c>
      <c r="K237" s="49">
        <v>37554</v>
      </c>
      <c r="L237" s="50"/>
      <c r="M237" s="48">
        <v>45813</v>
      </c>
      <c r="N237" s="75" t="s">
        <v>542</v>
      </c>
      <c r="R237" s="72"/>
      <c r="S237" s="48"/>
      <c r="U237" s="48"/>
      <c r="V237" s="48"/>
    </row>
    <row r="238" spans="1:23" hidden="1" x14ac:dyDescent="0.25">
      <c r="A238" s="152">
        <f t="shared" si="13"/>
        <v>232</v>
      </c>
      <c r="B238" s="46" t="s">
        <v>586</v>
      </c>
      <c r="C238" s="46" t="s">
        <v>144</v>
      </c>
      <c r="D238" s="46" t="s">
        <v>155</v>
      </c>
      <c r="E238" s="152" t="s">
        <v>583</v>
      </c>
      <c r="F238" s="152" t="s">
        <v>584</v>
      </c>
      <c r="G238" s="135" t="s">
        <v>227</v>
      </c>
      <c r="H238" s="46">
        <v>901432582</v>
      </c>
      <c r="I238" s="136" t="s">
        <v>232</v>
      </c>
      <c r="J238" s="48">
        <v>45786</v>
      </c>
      <c r="K238" s="49">
        <v>37555</v>
      </c>
      <c r="L238" s="50"/>
      <c r="M238" s="48">
        <v>45813</v>
      </c>
      <c r="N238" s="75" t="s">
        <v>542</v>
      </c>
      <c r="R238" s="72"/>
      <c r="S238" s="48"/>
      <c r="U238" s="48"/>
      <c r="V238" s="48"/>
    </row>
    <row r="239" spans="1:23" hidden="1" x14ac:dyDescent="0.25">
      <c r="A239" s="152">
        <f t="shared" si="13"/>
        <v>233</v>
      </c>
      <c r="B239" s="46" t="s">
        <v>587</v>
      </c>
      <c r="C239" s="46" t="s">
        <v>144</v>
      </c>
      <c r="D239" s="46" t="s">
        <v>155</v>
      </c>
      <c r="G239" s="135" t="s">
        <v>227</v>
      </c>
      <c r="H239" s="46">
        <v>901432582</v>
      </c>
      <c r="I239" s="136" t="s">
        <v>232</v>
      </c>
      <c r="J239" s="48">
        <v>45786</v>
      </c>
      <c r="K239" s="49">
        <v>40154</v>
      </c>
      <c r="L239" s="50"/>
      <c r="N239" s="75" t="s">
        <v>229</v>
      </c>
      <c r="R239" s="72"/>
      <c r="S239" s="48"/>
      <c r="U239" s="48"/>
      <c r="V239" s="48"/>
    </row>
    <row r="240" spans="1:23" hidden="1" x14ac:dyDescent="0.25">
      <c r="A240" s="152">
        <f t="shared" si="13"/>
        <v>234</v>
      </c>
      <c r="B240" s="46" t="s">
        <v>588</v>
      </c>
      <c r="C240" s="46" t="s">
        <v>144</v>
      </c>
      <c r="D240" s="46" t="s">
        <v>155</v>
      </c>
      <c r="G240" s="135" t="s">
        <v>227</v>
      </c>
      <c r="H240" s="46">
        <v>901432582</v>
      </c>
      <c r="I240" s="136" t="s">
        <v>232</v>
      </c>
      <c r="J240" s="48">
        <v>45786</v>
      </c>
      <c r="K240" s="49">
        <v>40155</v>
      </c>
      <c r="L240" s="50"/>
      <c r="N240" s="75" t="s">
        <v>229</v>
      </c>
      <c r="R240" s="72"/>
      <c r="S240" s="48"/>
      <c r="U240" s="48"/>
      <c r="V240" s="48"/>
    </row>
    <row r="241" spans="1:23" hidden="1" x14ac:dyDescent="0.25">
      <c r="A241" s="152">
        <f t="shared" si="13"/>
        <v>235</v>
      </c>
      <c r="B241" s="46" t="s">
        <v>589</v>
      </c>
      <c r="C241" s="46" t="s">
        <v>144</v>
      </c>
      <c r="D241" s="46" t="s">
        <v>155</v>
      </c>
      <c r="G241" s="135" t="s">
        <v>227</v>
      </c>
      <c r="H241" s="46">
        <v>901432582</v>
      </c>
      <c r="I241" s="136" t="s">
        <v>232</v>
      </c>
      <c r="J241" s="48">
        <v>45786</v>
      </c>
      <c r="K241" s="49">
        <v>40156</v>
      </c>
      <c r="L241" s="50"/>
      <c r="N241" s="75" t="s">
        <v>229</v>
      </c>
      <c r="R241" s="72"/>
      <c r="S241" s="48"/>
      <c r="U241" s="48"/>
      <c r="V241" s="48"/>
    </row>
    <row r="242" spans="1:23" hidden="1" x14ac:dyDescent="0.25">
      <c r="A242" s="152">
        <f t="shared" si="13"/>
        <v>236</v>
      </c>
      <c r="B242" s="46" t="s">
        <v>590</v>
      </c>
      <c r="C242" s="46" t="s">
        <v>144</v>
      </c>
      <c r="D242" s="46" t="s">
        <v>154</v>
      </c>
      <c r="G242" s="135" t="s">
        <v>227</v>
      </c>
      <c r="H242" s="46">
        <v>901432582</v>
      </c>
      <c r="I242" s="136" t="s">
        <v>232</v>
      </c>
      <c r="J242" s="48">
        <v>45786</v>
      </c>
      <c r="K242" s="49">
        <v>23832</v>
      </c>
      <c r="L242" s="50"/>
      <c r="N242" s="75" t="s">
        <v>229</v>
      </c>
      <c r="R242" s="72"/>
      <c r="S242" s="48"/>
      <c r="U242" s="48"/>
      <c r="V242" s="48"/>
    </row>
    <row r="243" spans="1:23" hidden="1" x14ac:dyDescent="0.25">
      <c r="A243" s="152">
        <f t="shared" si="13"/>
        <v>237</v>
      </c>
      <c r="B243" s="46" t="s">
        <v>591</v>
      </c>
      <c r="C243" s="46" t="s">
        <v>144</v>
      </c>
      <c r="D243" s="46" t="s">
        <v>154</v>
      </c>
      <c r="G243" s="135" t="s">
        <v>227</v>
      </c>
      <c r="H243" s="46">
        <v>901432582</v>
      </c>
      <c r="I243" s="136" t="s">
        <v>232</v>
      </c>
      <c r="J243" s="48">
        <v>45786</v>
      </c>
      <c r="K243" s="49">
        <v>23833</v>
      </c>
      <c r="L243" s="50"/>
      <c r="N243" s="75" t="s">
        <v>229</v>
      </c>
      <c r="R243" s="72"/>
      <c r="S243" s="48"/>
      <c r="U243" s="48"/>
      <c r="V243" s="48"/>
    </row>
    <row r="244" spans="1:23" hidden="1" x14ac:dyDescent="0.25">
      <c r="A244" s="152">
        <f t="shared" si="13"/>
        <v>238</v>
      </c>
      <c r="B244" s="46" t="s">
        <v>592</v>
      </c>
      <c r="C244" s="46" t="s">
        <v>144</v>
      </c>
      <c r="D244" s="46" t="s">
        <v>154</v>
      </c>
      <c r="G244" s="135" t="s">
        <v>227</v>
      </c>
      <c r="H244" s="46">
        <v>901432582</v>
      </c>
      <c r="I244" s="136" t="s">
        <v>232</v>
      </c>
      <c r="J244" s="48">
        <v>45786</v>
      </c>
      <c r="K244" s="49">
        <v>23834</v>
      </c>
      <c r="L244" s="50"/>
      <c r="N244" s="75" t="s">
        <v>229</v>
      </c>
      <c r="R244" s="72"/>
      <c r="S244" s="48"/>
      <c r="U244" s="48"/>
      <c r="V244" s="48"/>
    </row>
    <row r="245" spans="1:23" hidden="1" x14ac:dyDescent="0.25">
      <c r="A245" s="152">
        <f t="shared" si="13"/>
        <v>239</v>
      </c>
      <c r="B245" s="46" t="s">
        <v>593</v>
      </c>
      <c r="C245" s="46" t="s">
        <v>144</v>
      </c>
      <c r="D245" s="46" t="s">
        <v>155</v>
      </c>
      <c r="G245" s="135" t="s">
        <v>227</v>
      </c>
      <c r="H245" s="46">
        <v>901432582</v>
      </c>
      <c r="I245" s="136" t="s">
        <v>232</v>
      </c>
      <c r="J245" s="48">
        <v>45786</v>
      </c>
      <c r="K245" s="49">
        <v>37576</v>
      </c>
      <c r="L245" s="50"/>
      <c r="N245" s="75" t="s">
        <v>229</v>
      </c>
      <c r="R245" s="72"/>
      <c r="S245" s="48"/>
      <c r="U245" s="48"/>
      <c r="V245" s="48"/>
    </row>
    <row r="246" spans="1:23" hidden="1" x14ac:dyDescent="0.25">
      <c r="A246" s="152">
        <f t="shared" si="13"/>
        <v>240</v>
      </c>
      <c r="B246" s="46" t="s">
        <v>594</v>
      </c>
      <c r="C246" s="46" t="s">
        <v>144</v>
      </c>
      <c r="D246" s="46" t="s">
        <v>155</v>
      </c>
      <c r="G246" s="135" t="s">
        <v>227</v>
      </c>
      <c r="H246" s="46">
        <v>901432582</v>
      </c>
      <c r="I246" s="136" t="s">
        <v>232</v>
      </c>
      <c r="J246" s="48">
        <v>45786</v>
      </c>
      <c r="K246" s="49">
        <v>37577</v>
      </c>
      <c r="L246" s="50"/>
      <c r="N246" s="75" t="s">
        <v>229</v>
      </c>
      <c r="R246" s="72"/>
      <c r="S246" s="48"/>
      <c r="U246" s="48"/>
      <c r="V246" s="48"/>
    </row>
    <row r="247" spans="1:23" hidden="1" x14ac:dyDescent="0.25">
      <c r="A247" s="152">
        <f t="shared" si="13"/>
        <v>241</v>
      </c>
      <c r="B247" s="46" t="s">
        <v>595</v>
      </c>
      <c r="C247" s="46" t="s">
        <v>144</v>
      </c>
      <c r="D247" s="46" t="s">
        <v>155</v>
      </c>
      <c r="G247" s="135" t="s">
        <v>227</v>
      </c>
      <c r="H247" s="46">
        <v>901432582</v>
      </c>
      <c r="I247" s="136" t="s">
        <v>232</v>
      </c>
      <c r="J247" s="48">
        <v>45786</v>
      </c>
      <c r="K247" s="49">
        <v>37578</v>
      </c>
      <c r="L247" s="50"/>
      <c r="N247" s="75" t="s">
        <v>229</v>
      </c>
      <c r="R247" s="72"/>
      <c r="S247" s="48"/>
      <c r="U247" s="48"/>
      <c r="V247" s="48"/>
    </row>
    <row r="248" spans="1:23" hidden="1" x14ac:dyDescent="0.25">
      <c r="A248" s="152">
        <f t="shared" ref="A248:A253" si="14">+A247+1</f>
        <v>242</v>
      </c>
      <c r="B248" s="46" t="s">
        <v>596</v>
      </c>
      <c r="C248" s="46" t="str">
        <f>+IF(EstadoSolicitudes[[#This Row],[Aprobado OR]]="Aprobado",EstadoSolicitudes[[#This Row],[Aprobado OR]],
IF(EstadoSolicitudes[[#This Row],[Aprobado OR]]="Cancelado",EstadoSolicitudes[[#This Row],[Aprobado OR]],
IF(EstadoSolicitudes[[#This Row],[Cargue estudio al OR]]&gt;1,"Verificación Técnica",
IF(EstadoSolicitudes[[#This Row],[Fecha solicitud estudio]]&gt;1,"Estudio de conexión",
IF(EstadoSolicitudes[[#This Row],[Insumos revisados]]="No",IF(EstadoSolicitudes[[#This Row],[Fecha entrega insumos OR]]&gt;1,"Evolti","Espera de insumos"),
"Evolti")))))</f>
        <v>Espera de insumos</v>
      </c>
      <c r="D248" s="46" t="s">
        <v>151</v>
      </c>
      <c r="G248" s="135" t="s">
        <v>227</v>
      </c>
      <c r="H248" s="46">
        <v>901432583</v>
      </c>
      <c r="I248" s="136" t="s">
        <v>232</v>
      </c>
      <c r="J248" s="48">
        <v>45789</v>
      </c>
      <c r="K248" s="49"/>
      <c r="L248" s="50"/>
      <c r="N248" s="75" t="s">
        <v>229</v>
      </c>
      <c r="R248" s="72"/>
      <c r="S248" s="48"/>
      <c r="U248" s="48"/>
      <c r="V248" s="48"/>
      <c r="W248" s="48" t="s">
        <v>286</v>
      </c>
    </row>
    <row r="249" spans="1:23" hidden="1" x14ac:dyDescent="0.25">
      <c r="A249" s="152">
        <f t="shared" si="14"/>
        <v>243</v>
      </c>
      <c r="B249" s="46" t="s">
        <v>597</v>
      </c>
      <c r="C249" s="46" t="str">
        <f>+IF(EstadoSolicitudes[[#This Row],[Aprobado OR]]="Aprobado",EstadoSolicitudes[[#This Row],[Aprobado OR]],
IF(EstadoSolicitudes[[#This Row],[Aprobado OR]]="Cancelado",EstadoSolicitudes[[#This Row],[Aprobado OR]],
IF(EstadoSolicitudes[[#This Row],[Cargue estudio al OR]]&gt;1,"Verificación Técnica",
IF(EstadoSolicitudes[[#This Row],[Fecha solicitud estudio]]&gt;1,"Estudio de conexión",
IF(EstadoSolicitudes[[#This Row],[Insumos revisados]]="No",IF(EstadoSolicitudes[[#This Row],[Fecha entrega insumos OR]]&gt;1,"Evolti","Espera de insumos"),
"Evolti")))))</f>
        <v>Espera de insumos</v>
      </c>
      <c r="D249" s="46" t="s">
        <v>151</v>
      </c>
      <c r="G249" s="135" t="s">
        <v>227</v>
      </c>
      <c r="H249" s="46">
        <v>901432584</v>
      </c>
      <c r="I249" s="136" t="s">
        <v>232</v>
      </c>
      <c r="J249" s="48">
        <v>45789</v>
      </c>
      <c r="K249" s="49"/>
      <c r="L249" s="50"/>
      <c r="N249" s="75" t="s">
        <v>229</v>
      </c>
      <c r="R249" s="72"/>
      <c r="S249" s="48"/>
      <c r="U249" s="48"/>
      <c r="V249" s="48"/>
      <c r="W249" s="48" t="s">
        <v>286</v>
      </c>
    </row>
    <row r="250" spans="1:23" hidden="1" x14ac:dyDescent="0.25">
      <c r="A250" s="152">
        <f t="shared" si="14"/>
        <v>244</v>
      </c>
      <c r="B250" s="46" t="s">
        <v>598</v>
      </c>
      <c r="C250" s="46" t="str">
        <f>+IF(EstadoSolicitudes[[#This Row],[Aprobado OR]]="Aprobado",EstadoSolicitudes[[#This Row],[Aprobado OR]],
IF(EstadoSolicitudes[[#This Row],[Aprobado OR]]="Cancelado",EstadoSolicitudes[[#This Row],[Aprobado OR]],
IF(EstadoSolicitudes[[#This Row],[Cargue estudio al OR]]&gt;1,"Verificación Técnica",
IF(EstadoSolicitudes[[#This Row],[Fecha solicitud estudio]]&gt;1,"Estudio de conexión",
IF(EstadoSolicitudes[[#This Row],[Insumos revisados]]="No",IF(EstadoSolicitudes[[#This Row],[Fecha entrega insumos OR]]&gt;1,"Evolti","Espera de insumos"),
"Evolti")))))</f>
        <v>Espera de insumos</v>
      </c>
      <c r="D250" s="46" t="s">
        <v>151</v>
      </c>
      <c r="G250" s="135" t="s">
        <v>227</v>
      </c>
      <c r="H250" s="46">
        <v>901432585</v>
      </c>
      <c r="I250" s="136" t="s">
        <v>232</v>
      </c>
      <c r="J250" s="48">
        <v>45789</v>
      </c>
      <c r="K250" s="49"/>
      <c r="L250" s="50"/>
      <c r="N250" s="75" t="s">
        <v>229</v>
      </c>
      <c r="R250" s="72"/>
      <c r="S250" s="48"/>
      <c r="U250" s="48"/>
      <c r="V250" s="48"/>
      <c r="W250" s="48" t="s">
        <v>286</v>
      </c>
    </row>
    <row r="251" spans="1:23" hidden="1" x14ac:dyDescent="0.25">
      <c r="A251" s="152">
        <f t="shared" si="14"/>
        <v>245</v>
      </c>
      <c r="B251" s="46" t="s">
        <v>599</v>
      </c>
      <c r="C251" s="46" t="str">
        <f>+IF(EstadoSolicitudes[[#This Row],[Aprobado OR]]="Aprobado",EstadoSolicitudes[[#This Row],[Aprobado OR]],
IF(EstadoSolicitudes[[#This Row],[Aprobado OR]]="Cancelado",EstadoSolicitudes[[#This Row],[Aprobado OR]],
IF(EstadoSolicitudes[[#This Row],[Cargue estudio al OR]]&gt;1,"Verificación Técnica",
IF(EstadoSolicitudes[[#This Row],[Fecha solicitud estudio]]&gt;1,"Estudio de conexión",
IF(EstadoSolicitudes[[#This Row],[Insumos revisados]]="No",IF(EstadoSolicitudes[[#This Row],[Fecha entrega insumos OR]]&gt;1,"Evolti","Espera de insumos"),
"Evolti")))))</f>
        <v>Evolti</v>
      </c>
      <c r="D251" s="46" t="s">
        <v>161</v>
      </c>
      <c r="E251" s="152" t="s">
        <v>478</v>
      </c>
      <c r="F251" s="152" t="s">
        <v>479</v>
      </c>
      <c r="G251" s="135" t="s">
        <v>227</v>
      </c>
      <c r="H251" s="46">
        <v>901432582</v>
      </c>
      <c r="I251" s="136" t="s">
        <v>232</v>
      </c>
      <c r="J251" s="48">
        <v>45791</v>
      </c>
      <c r="K251" s="49">
        <v>64205590</v>
      </c>
      <c r="L251" s="50" t="s">
        <v>600</v>
      </c>
      <c r="M251" s="48">
        <v>45800</v>
      </c>
      <c r="N251" s="75" t="s">
        <v>542</v>
      </c>
      <c r="R251" s="72"/>
      <c r="S251" s="48"/>
      <c r="U251" s="48"/>
      <c r="V251" s="48"/>
    </row>
    <row r="252" spans="1:23" hidden="1" x14ac:dyDescent="0.25">
      <c r="A252" s="152">
        <f t="shared" si="14"/>
        <v>246</v>
      </c>
      <c r="B252" s="46" t="s">
        <v>601</v>
      </c>
      <c r="C252" s="46" t="str">
        <f>+IF(EstadoSolicitudes[[#This Row],[Aprobado OR]]="Aprobado",EstadoSolicitudes[[#This Row],[Aprobado OR]],
IF(EstadoSolicitudes[[#This Row],[Aprobado OR]]="Cancelado",EstadoSolicitudes[[#This Row],[Aprobado OR]],
IF(EstadoSolicitudes[[#This Row],[Cargue estudio al OR]]&gt;1,"Verificación Técnica",
IF(EstadoSolicitudes[[#This Row],[Fecha solicitud estudio]]&gt;1,"Estudio de conexión",
IF(EstadoSolicitudes[[#This Row],[Insumos revisados]]="No",IF(EstadoSolicitudes[[#This Row],[Fecha entrega insumos OR]]&gt;1,"Evolti","Espera de insumos"),
"Evolti")))))</f>
        <v>Evolti</v>
      </c>
      <c r="D252" s="46" t="s">
        <v>161</v>
      </c>
      <c r="E252" s="152" t="s">
        <v>478</v>
      </c>
      <c r="F252" s="152" t="s">
        <v>479</v>
      </c>
      <c r="G252" s="135" t="s">
        <v>227</v>
      </c>
      <c r="H252" s="46">
        <v>901432582</v>
      </c>
      <c r="I252" s="136" t="s">
        <v>232</v>
      </c>
      <c r="J252" s="48">
        <v>45791</v>
      </c>
      <c r="K252" s="49">
        <v>64205835</v>
      </c>
      <c r="L252" s="50" t="s">
        <v>602</v>
      </c>
      <c r="M252" s="48">
        <v>45800</v>
      </c>
      <c r="N252" s="75" t="s">
        <v>542</v>
      </c>
      <c r="R252" s="72"/>
      <c r="S252" s="48"/>
      <c r="U252" s="48"/>
      <c r="V252" s="48"/>
    </row>
    <row r="253" spans="1:23" hidden="1" x14ac:dyDescent="0.25">
      <c r="A253" s="152">
        <f t="shared" si="14"/>
        <v>247</v>
      </c>
      <c r="B253" s="46" t="s">
        <v>603</v>
      </c>
      <c r="C253" s="46" t="str">
        <f>+IF(EstadoSolicitudes[[#This Row],[Aprobado OR]]="Aprobado",EstadoSolicitudes[[#This Row],[Aprobado OR]],
IF(EstadoSolicitudes[[#This Row],[Aprobado OR]]="Cancelado",EstadoSolicitudes[[#This Row],[Aprobado OR]],
IF(EstadoSolicitudes[[#This Row],[Cargue estudio al OR]]&gt;1,"Verificación Técnica",
IF(EstadoSolicitudes[[#This Row],[Fecha solicitud estudio]]&gt;1,"Estudio de conexión",
IF(EstadoSolicitudes[[#This Row],[Insumos revisados]]="No",IF(EstadoSolicitudes[[#This Row],[Fecha entrega insumos OR]]&gt;1,"Evolti","Espera de insumos"),
"Evolti")))))</f>
        <v>Espera de insumos</v>
      </c>
      <c r="D253" s="46" t="s">
        <v>161</v>
      </c>
      <c r="E253" s="152" t="s">
        <v>478</v>
      </c>
      <c r="F253" s="152" t="s">
        <v>479</v>
      </c>
      <c r="G253" s="135" t="s">
        <v>227</v>
      </c>
      <c r="H253" s="46">
        <v>901432582</v>
      </c>
      <c r="I253" s="136" t="s">
        <v>232</v>
      </c>
      <c r="J253" s="48">
        <v>45791</v>
      </c>
      <c r="K253" s="49">
        <v>64205977</v>
      </c>
      <c r="L253" s="50" t="s">
        <v>604</v>
      </c>
      <c r="N253" s="75" t="s">
        <v>229</v>
      </c>
      <c r="R253" s="72"/>
      <c r="S253" s="48"/>
      <c r="U253" s="48"/>
      <c r="V253" s="48"/>
    </row>
    <row r="254" spans="1:23" hidden="1" x14ac:dyDescent="0.25">
      <c r="A254" s="152">
        <f t="shared" ref="A254:A287" si="15">+A253+1</f>
        <v>248</v>
      </c>
      <c r="B254" s="46" t="s">
        <v>605</v>
      </c>
      <c r="C254" s="46" t="str">
        <f>+IF(EstadoSolicitudes[[#This Row],[Aprobado OR]]="Aprobado",EstadoSolicitudes[[#This Row],[Aprobado OR]],
IF(EstadoSolicitudes[[#This Row],[Aprobado OR]]="Cancelado",EstadoSolicitudes[[#This Row],[Aprobado OR]],
IF(EstadoSolicitudes[[#This Row],[Cargue estudio al OR]]&gt;1,"Verificación Técnica",
IF(EstadoSolicitudes[[#This Row],[Fecha solicitud estudio]]&gt;1,"Estudio de conexión",
IF(EstadoSolicitudes[[#This Row],[Insumos revisados]]="No",IF(EstadoSolicitudes[[#This Row],[Fecha entrega insumos OR]]&gt;1,"Evolti","Espera de insumos"),
"Evolti")))))</f>
        <v>Evolti</v>
      </c>
      <c r="D254" s="46" t="s">
        <v>155</v>
      </c>
      <c r="G254" s="135" t="s">
        <v>227</v>
      </c>
      <c r="H254" s="46">
        <v>901432582</v>
      </c>
      <c r="I254" s="136" t="s">
        <v>232</v>
      </c>
      <c r="J254" s="48">
        <v>45791</v>
      </c>
      <c r="K254" s="49">
        <v>37944</v>
      </c>
      <c r="L254" s="50"/>
      <c r="M254" s="48">
        <v>45818</v>
      </c>
      <c r="N254" s="75" t="s">
        <v>229</v>
      </c>
      <c r="R254" s="72"/>
      <c r="S254" s="48"/>
      <c r="U254" s="48"/>
      <c r="V254" s="48"/>
      <c r="W254" s="48" t="s">
        <v>606</v>
      </c>
    </row>
    <row r="255" spans="1:23" hidden="1" x14ac:dyDescent="0.25">
      <c r="A255" s="152">
        <f t="shared" si="15"/>
        <v>249</v>
      </c>
      <c r="B255" s="46" t="s">
        <v>607</v>
      </c>
      <c r="C255" s="46" t="str">
        <f>+IF(EstadoSolicitudes[[#This Row],[Aprobado OR]]="Aprobado",EstadoSolicitudes[[#This Row],[Aprobado OR]],
IF(EstadoSolicitudes[[#This Row],[Aprobado OR]]="Cancelado",EstadoSolicitudes[[#This Row],[Aprobado OR]],
IF(EstadoSolicitudes[[#This Row],[Cargue estudio al OR]]&gt;1,"Verificación Técnica",
IF(EstadoSolicitudes[[#This Row],[Fecha solicitud estudio]]&gt;1,"Estudio de conexión",
IF(EstadoSolicitudes[[#This Row],[Insumos revisados]]="No",IF(EstadoSolicitudes[[#This Row],[Fecha entrega insumos OR]]&gt;1,"Evolti","Espera de insumos"),
"Evolti")))))</f>
        <v>Evolti</v>
      </c>
      <c r="D255" s="46" t="s">
        <v>155</v>
      </c>
      <c r="G255" s="135" t="s">
        <v>227</v>
      </c>
      <c r="H255" s="46">
        <v>901432582</v>
      </c>
      <c r="I255" s="136" t="s">
        <v>232</v>
      </c>
      <c r="J255" s="48">
        <v>45791</v>
      </c>
      <c r="K255" s="49">
        <v>37946</v>
      </c>
      <c r="L255" s="50"/>
      <c r="M255" s="48">
        <v>45818</v>
      </c>
      <c r="N255" s="75" t="s">
        <v>229</v>
      </c>
      <c r="R255" s="72"/>
      <c r="S255" s="48"/>
      <c r="U255" s="48"/>
      <c r="V255" s="48"/>
      <c r="W255" s="48" t="s">
        <v>606</v>
      </c>
    </row>
    <row r="256" spans="1:23" hidden="1" x14ac:dyDescent="0.25">
      <c r="A256" s="152">
        <f t="shared" si="15"/>
        <v>250</v>
      </c>
      <c r="B256" s="46" t="s">
        <v>608</v>
      </c>
      <c r="C256" s="46" t="str">
        <f>+IF(EstadoSolicitudes[[#This Row],[Aprobado OR]]="Aprobado",EstadoSolicitudes[[#This Row],[Aprobado OR]],
IF(EstadoSolicitudes[[#This Row],[Aprobado OR]]="Cancelado",EstadoSolicitudes[[#This Row],[Aprobado OR]],
IF(EstadoSolicitudes[[#This Row],[Cargue estudio al OR]]&gt;1,"Verificación Técnica",
IF(EstadoSolicitudes[[#This Row],[Fecha solicitud estudio]]&gt;1,"Estudio de conexión",
IF(EstadoSolicitudes[[#This Row],[Insumos revisados]]="No",IF(EstadoSolicitudes[[#This Row],[Fecha entrega insumos OR]]&gt;1,"Evolti","Espera de insumos"),
"Evolti")))))</f>
        <v>Evolti</v>
      </c>
      <c r="D256" s="46" t="s">
        <v>155</v>
      </c>
      <c r="G256" s="135" t="s">
        <v>227</v>
      </c>
      <c r="H256" s="46">
        <v>901432582</v>
      </c>
      <c r="I256" s="136" t="s">
        <v>232</v>
      </c>
      <c r="J256" s="48">
        <v>45791</v>
      </c>
      <c r="K256" s="49">
        <v>37947</v>
      </c>
      <c r="L256" s="50"/>
      <c r="M256" s="48">
        <v>45818</v>
      </c>
      <c r="N256" s="75" t="s">
        <v>229</v>
      </c>
      <c r="R256" s="72"/>
      <c r="S256" s="48"/>
      <c r="U256" s="48"/>
      <c r="V256" s="48"/>
      <c r="W256" s="48" t="s">
        <v>606</v>
      </c>
    </row>
    <row r="257" spans="1:23" hidden="1" x14ac:dyDescent="0.25">
      <c r="A257" s="152">
        <f t="shared" si="15"/>
        <v>251</v>
      </c>
      <c r="B257" s="46" t="s">
        <v>609</v>
      </c>
      <c r="C257" s="46" t="s">
        <v>144</v>
      </c>
      <c r="D257" s="46" t="s">
        <v>153</v>
      </c>
      <c r="E257" s="222" t="s">
        <v>610</v>
      </c>
      <c r="F257" s="222" t="s">
        <v>611</v>
      </c>
      <c r="G257" s="135" t="s">
        <v>227</v>
      </c>
      <c r="H257" s="46">
        <v>901432582</v>
      </c>
      <c r="I257" s="136" t="s">
        <v>232</v>
      </c>
      <c r="J257" s="48">
        <v>45791</v>
      </c>
      <c r="K257" s="49">
        <v>4241</v>
      </c>
      <c r="L257" s="50" t="s">
        <v>241</v>
      </c>
      <c r="M257" s="48">
        <v>45819</v>
      </c>
      <c r="N257" s="75" t="s">
        <v>542</v>
      </c>
      <c r="R257" s="72"/>
      <c r="S257" s="48"/>
      <c r="U257" s="48"/>
      <c r="V257" s="48"/>
    </row>
    <row r="258" spans="1:23" hidden="1" x14ac:dyDescent="0.25">
      <c r="A258" s="152">
        <f t="shared" si="15"/>
        <v>252</v>
      </c>
      <c r="B258" s="46" t="s">
        <v>612</v>
      </c>
      <c r="C258" s="46" t="s">
        <v>144</v>
      </c>
      <c r="D258" s="46" t="s">
        <v>153</v>
      </c>
      <c r="E258" s="222" t="s">
        <v>610</v>
      </c>
      <c r="F258" s="222" t="s">
        <v>611</v>
      </c>
      <c r="G258" s="135" t="s">
        <v>227</v>
      </c>
      <c r="H258" s="46">
        <v>901432582</v>
      </c>
      <c r="I258" s="159" t="s">
        <v>267</v>
      </c>
      <c r="J258" s="48">
        <v>45791</v>
      </c>
      <c r="K258" s="49">
        <v>4242</v>
      </c>
      <c r="L258" s="50" t="s">
        <v>268</v>
      </c>
      <c r="M258" s="48">
        <v>45819</v>
      </c>
      <c r="N258" s="75" t="s">
        <v>542</v>
      </c>
      <c r="R258" s="72"/>
      <c r="S258" s="48"/>
      <c r="U258" s="48"/>
      <c r="V258" s="48"/>
      <c r="W258" s="237"/>
    </row>
    <row r="259" spans="1:23" hidden="1" x14ac:dyDescent="0.25">
      <c r="A259" s="152">
        <f t="shared" si="15"/>
        <v>253</v>
      </c>
      <c r="B259" s="46" t="s">
        <v>613</v>
      </c>
      <c r="C259" s="46" t="s">
        <v>144</v>
      </c>
      <c r="D259" s="46" t="s">
        <v>153</v>
      </c>
      <c r="E259" s="222" t="s">
        <v>610</v>
      </c>
      <c r="F259" s="222" t="s">
        <v>611</v>
      </c>
      <c r="G259" s="135" t="s">
        <v>227</v>
      </c>
      <c r="H259" s="46">
        <v>901432582</v>
      </c>
      <c r="I259" s="160" t="s">
        <v>529</v>
      </c>
      <c r="J259" s="48">
        <v>45791</v>
      </c>
      <c r="K259" s="49">
        <v>4243</v>
      </c>
      <c r="L259" s="50" t="s">
        <v>545</v>
      </c>
      <c r="M259" s="48">
        <v>45819</v>
      </c>
      <c r="N259" s="75" t="s">
        <v>542</v>
      </c>
      <c r="R259" s="72"/>
      <c r="S259" s="48"/>
      <c r="U259" s="48"/>
      <c r="V259" s="48"/>
    </row>
    <row r="260" spans="1:23" hidden="1" x14ac:dyDescent="0.25">
      <c r="A260" s="152">
        <f t="shared" si="15"/>
        <v>254</v>
      </c>
      <c r="B260" s="46" t="s">
        <v>614</v>
      </c>
      <c r="C260" s="46" t="s">
        <v>144</v>
      </c>
      <c r="D260" s="46" t="s">
        <v>161</v>
      </c>
      <c r="G260" s="135" t="s">
        <v>227</v>
      </c>
      <c r="H260" s="46">
        <v>901432582</v>
      </c>
      <c r="I260" s="136" t="s">
        <v>232</v>
      </c>
      <c r="J260" s="48">
        <v>45792</v>
      </c>
      <c r="K260" s="49">
        <v>64213647</v>
      </c>
      <c r="L260" s="50"/>
      <c r="N260" s="75" t="s">
        <v>229</v>
      </c>
      <c r="R260" s="72"/>
      <c r="S260" s="48"/>
      <c r="U260" s="48"/>
      <c r="V260" s="48"/>
    </row>
    <row r="261" spans="1:23" hidden="1" x14ac:dyDescent="0.25">
      <c r="A261" s="152">
        <f t="shared" si="15"/>
        <v>255</v>
      </c>
      <c r="B261" s="46" t="s">
        <v>615</v>
      </c>
      <c r="C261" s="46" t="s">
        <v>144</v>
      </c>
      <c r="D261" s="46" t="s">
        <v>161</v>
      </c>
      <c r="G261" s="135" t="s">
        <v>227</v>
      </c>
      <c r="H261" s="46">
        <v>901432582</v>
      </c>
      <c r="I261" s="136" t="s">
        <v>232</v>
      </c>
      <c r="J261" s="48">
        <v>45792</v>
      </c>
      <c r="K261" s="49">
        <v>64214010</v>
      </c>
      <c r="L261" s="50"/>
      <c r="N261" s="75" t="s">
        <v>229</v>
      </c>
      <c r="R261" s="72"/>
      <c r="S261" s="48"/>
      <c r="U261" s="48"/>
      <c r="V261" s="48"/>
    </row>
    <row r="262" spans="1:23" hidden="1" x14ac:dyDescent="0.25">
      <c r="A262" s="152">
        <f t="shared" si="15"/>
        <v>256</v>
      </c>
      <c r="B262" s="46" t="s">
        <v>616</v>
      </c>
      <c r="C262" s="46" t="s">
        <v>144</v>
      </c>
      <c r="D262" s="46" t="s">
        <v>161</v>
      </c>
      <c r="G262" s="135" t="s">
        <v>227</v>
      </c>
      <c r="H262" s="46">
        <v>901432582</v>
      </c>
      <c r="I262" s="136" t="s">
        <v>232</v>
      </c>
      <c r="J262" s="48">
        <v>45792</v>
      </c>
      <c r="K262" s="49">
        <v>64214154</v>
      </c>
      <c r="L262" s="50"/>
      <c r="N262" s="75" t="s">
        <v>229</v>
      </c>
      <c r="R262" s="72"/>
      <c r="S262" s="48"/>
      <c r="U262" s="48"/>
      <c r="V262" s="48"/>
    </row>
    <row r="263" spans="1:23" hidden="1" x14ac:dyDescent="0.25">
      <c r="A263" s="152">
        <f t="shared" si="15"/>
        <v>257</v>
      </c>
      <c r="B263" s="46" t="s">
        <v>617</v>
      </c>
      <c r="C263" s="46" t="str">
        <f>+IF(EstadoSolicitudes[[#This Row],[Aprobado OR]]="Aprobado",EstadoSolicitudes[[#This Row],[Aprobado OR]],
IF(EstadoSolicitudes[[#This Row],[Aprobado OR]]="Cancelado",EstadoSolicitudes[[#This Row],[Aprobado OR]],
IF(EstadoSolicitudes[[#This Row],[Cargue estudio al OR]]&gt;1,"Verificación Técnica",
IF(EstadoSolicitudes[[#This Row],[Fecha solicitud estudio]]&gt;1,"Estudio de conexión",
IF(EstadoSolicitudes[[#This Row],[Insumos revisados]]="No",IF(EstadoSolicitudes[[#This Row],[Fecha entrega insumos OR]]&gt;1,"Evolti","Espera de insumos"),
"Evolti")))))</f>
        <v>Espera de insumos</v>
      </c>
      <c r="D263" s="46" t="s">
        <v>155</v>
      </c>
      <c r="E263" s="152" t="s">
        <v>1411</v>
      </c>
      <c r="F263" s="152" t="s">
        <v>1410</v>
      </c>
      <c r="G263" s="135" t="s">
        <v>227</v>
      </c>
      <c r="H263" s="46">
        <v>901432582</v>
      </c>
      <c r="I263" s="136" t="s">
        <v>232</v>
      </c>
      <c r="J263" s="48">
        <v>45840</v>
      </c>
      <c r="K263" s="49">
        <v>40346</v>
      </c>
      <c r="L263" s="50"/>
      <c r="N263" s="75" t="s">
        <v>229</v>
      </c>
      <c r="R263" s="72"/>
      <c r="S263" s="48"/>
      <c r="U263" s="48"/>
      <c r="V263" s="48"/>
    </row>
    <row r="264" spans="1:23" hidden="1" x14ac:dyDescent="0.25">
      <c r="A264" s="152">
        <f t="shared" si="15"/>
        <v>258</v>
      </c>
      <c r="B264" s="46" t="s">
        <v>618</v>
      </c>
      <c r="C264" s="46" t="str">
        <f>+IF(EstadoSolicitudes[[#This Row],[Aprobado OR]]="Aprobado",EstadoSolicitudes[[#This Row],[Aprobado OR]],
IF(EstadoSolicitudes[[#This Row],[Aprobado OR]]="Cancelado",EstadoSolicitudes[[#This Row],[Aprobado OR]],
IF(EstadoSolicitudes[[#This Row],[Cargue estudio al OR]]&gt;1,"Verificación Técnica",
IF(EstadoSolicitudes[[#This Row],[Fecha solicitud estudio]]&gt;1,"Estudio de conexión",
IF(EstadoSolicitudes[[#This Row],[Insumos revisados]]="No",IF(EstadoSolicitudes[[#This Row],[Fecha entrega insumos OR]]&gt;1,"Evolti","Espera de insumos"),
"Evolti")))))</f>
        <v>Espera de insumos</v>
      </c>
      <c r="D264" s="46" t="s">
        <v>155</v>
      </c>
      <c r="G264" s="135" t="s">
        <v>227</v>
      </c>
      <c r="H264" s="46">
        <v>901432582</v>
      </c>
      <c r="I264" s="136" t="s">
        <v>232</v>
      </c>
      <c r="J264" s="48">
        <v>45840</v>
      </c>
      <c r="K264" s="49">
        <v>40347</v>
      </c>
      <c r="L264" s="50"/>
      <c r="N264" s="75" t="s">
        <v>229</v>
      </c>
      <c r="R264" s="72"/>
      <c r="S264" s="48"/>
      <c r="U264" s="48"/>
      <c r="V264" s="48"/>
    </row>
    <row r="265" spans="1:23" hidden="1" x14ac:dyDescent="0.25">
      <c r="A265" s="152">
        <f t="shared" si="15"/>
        <v>259</v>
      </c>
      <c r="B265" s="46" t="s">
        <v>619</v>
      </c>
      <c r="C265" s="46" t="str">
        <f>+IF(EstadoSolicitudes[[#This Row],[Aprobado OR]]="Aprobado",EstadoSolicitudes[[#This Row],[Aprobado OR]],
IF(EstadoSolicitudes[[#This Row],[Aprobado OR]]="Cancelado",EstadoSolicitudes[[#This Row],[Aprobado OR]],
IF(EstadoSolicitudes[[#This Row],[Cargue estudio al OR]]&gt;1,"Verificación Técnica",
IF(EstadoSolicitudes[[#This Row],[Fecha solicitud estudio]]&gt;1,"Estudio de conexión",
IF(EstadoSolicitudes[[#This Row],[Insumos revisados]]="No",IF(EstadoSolicitudes[[#This Row],[Fecha entrega insumos OR]]&gt;1,"Evolti","Espera de insumos"),
"Evolti")))))</f>
        <v>Espera de insumos</v>
      </c>
      <c r="D265" s="46" t="s">
        <v>155</v>
      </c>
      <c r="G265" s="135" t="s">
        <v>227</v>
      </c>
      <c r="H265" s="46">
        <v>901432582</v>
      </c>
      <c r="I265" s="136" t="s">
        <v>232</v>
      </c>
      <c r="J265" s="48">
        <v>45840</v>
      </c>
      <c r="K265" s="49">
        <v>40349</v>
      </c>
      <c r="L265" s="50"/>
      <c r="N265" s="75" t="s">
        <v>229</v>
      </c>
      <c r="R265" s="72"/>
      <c r="S265" s="48"/>
      <c r="U265" s="48"/>
      <c r="V265" s="48"/>
    </row>
    <row r="266" spans="1:23" hidden="1" x14ac:dyDescent="0.25">
      <c r="A266" s="152">
        <f t="shared" si="15"/>
        <v>260</v>
      </c>
      <c r="B266" s="46" t="s">
        <v>620</v>
      </c>
      <c r="C266" s="46" t="str">
        <f>+IF(EstadoSolicitudes[[#This Row],[Aprobado OR]]="Aprobado",EstadoSolicitudes[[#This Row],[Aprobado OR]],
IF(EstadoSolicitudes[[#This Row],[Aprobado OR]]="Cancelado",EstadoSolicitudes[[#This Row],[Aprobado OR]],
IF(EstadoSolicitudes[[#This Row],[Cargue estudio al OR]]&gt;1,"Verificación Técnica",
IF(EstadoSolicitudes[[#This Row],[Fecha solicitud estudio]]&gt;1,"Estudio de conexión",
IF(EstadoSolicitudes[[#This Row],[Insumos revisados]]="No",IF(EstadoSolicitudes[[#This Row],[Fecha entrega insumos OR]]&gt;1,"Evolti","Espera de insumos"),
"Evolti")))))</f>
        <v>Evolti</v>
      </c>
      <c r="D266" s="46" t="s">
        <v>158</v>
      </c>
      <c r="E266" s="152" t="s">
        <v>621</v>
      </c>
      <c r="F266" s="152" t="s">
        <v>622</v>
      </c>
      <c r="G266" s="135" t="s">
        <v>227</v>
      </c>
      <c r="H266" s="46">
        <v>901432582</v>
      </c>
      <c r="I266" s="136" t="s">
        <v>232</v>
      </c>
      <c r="J266" s="48">
        <v>45750</v>
      </c>
      <c r="K266" s="49">
        <v>763098486</v>
      </c>
      <c r="L266" s="50"/>
      <c r="N266" s="75" t="s">
        <v>542</v>
      </c>
      <c r="R266" s="72"/>
      <c r="S266" s="48"/>
      <c r="U266" s="48"/>
      <c r="V266" s="48"/>
    </row>
    <row r="267" spans="1:23" hidden="1" x14ac:dyDescent="0.25">
      <c r="A267" s="152">
        <f t="shared" si="15"/>
        <v>261</v>
      </c>
      <c r="B267" s="46" t="s">
        <v>623</v>
      </c>
      <c r="C267" s="46" t="str">
        <f>+IF(EstadoSolicitudes[[#This Row],[Aprobado OR]]="Aprobado",EstadoSolicitudes[[#This Row],[Aprobado OR]],
IF(EstadoSolicitudes[[#This Row],[Aprobado OR]]="Cancelado",EstadoSolicitudes[[#This Row],[Aprobado OR]],
IF(EstadoSolicitudes[[#This Row],[Cargue estudio al OR]]&gt;1,"Verificación Técnica",
IF(EstadoSolicitudes[[#This Row],[Fecha solicitud estudio]]&gt;1,"Estudio de conexión",
IF(EstadoSolicitudes[[#This Row],[Insumos revisados]]="No",IF(EstadoSolicitudes[[#This Row],[Fecha entrega insumos OR]]&gt;1,"Evolti","Espera de insumos"),
"Evolti")))))</f>
        <v>Espera de insumos</v>
      </c>
      <c r="D267" s="46" t="s">
        <v>151</v>
      </c>
      <c r="E267" s="222" t="s">
        <v>624</v>
      </c>
      <c r="F267" s="222" t="s">
        <v>625</v>
      </c>
      <c r="G267" s="135" t="s">
        <v>227</v>
      </c>
      <c r="H267" s="46">
        <v>901432582</v>
      </c>
      <c r="I267" s="136" t="s">
        <v>232</v>
      </c>
      <c r="J267" s="48">
        <v>45792</v>
      </c>
      <c r="K267" s="49"/>
      <c r="L267" s="50"/>
      <c r="N267" s="75" t="s">
        <v>229</v>
      </c>
      <c r="R267" s="72"/>
      <c r="S267" s="48"/>
      <c r="U267" s="48"/>
      <c r="V267" s="48"/>
    </row>
    <row r="268" spans="1:23" hidden="1" x14ac:dyDescent="0.25">
      <c r="A268" s="152">
        <f t="shared" si="15"/>
        <v>262</v>
      </c>
      <c r="B268" s="46" t="s">
        <v>626</v>
      </c>
      <c r="C268" s="46" t="str">
        <f>+IF(EstadoSolicitudes[[#This Row],[Aprobado OR]]="Aprobado",EstadoSolicitudes[[#This Row],[Aprobado OR]],
IF(EstadoSolicitudes[[#This Row],[Aprobado OR]]="Cancelado",EstadoSolicitudes[[#This Row],[Aprobado OR]],
IF(EstadoSolicitudes[[#This Row],[Cargue estudio al OR]]&gt;1,"Verificación Técnica",
IF(EstadoSolicitudes[[#This Row],[Fecha solicitud estudio]]&gt;1,"Estudio de conexión",
IF(EstadoSolicitudes[[#This Row],[Insumos revisados]]="No",IF(EstadoSolicitudes[[#This Row],[Fecha entrega insumos OR]]&gt;1,"Evolti","Espera de insumos"),
"Evolti")))))</f>
        <v>Espera de insumos</v>
      </c>
      <c r="D268" s="46" t="s">
        <v>151</v>
      </c>
      <c r="E268" s="222" t="s">
        <v>624</v>
      </c>
      <c r="F268" s="222" t="s">
        <v>625</v>
      </c>
      <c r="G268" s="135" t="s">
        <v>227</v>
      </c>
      <c r="H268" s="46">
        <v>901432582</v>
      </c>
      <c r="I268" s="136" t="s">
        <v>232</v>
      </c>
      <c r="J268" s="48">
        <v>45792</v>
      </c>
      <c r="K268" s="49"/>
      <c r="L268" s="50"/>
      <c r="N268" s="75" t="s">
        <v>229</v>
      </c>
      <c r="R268" s="72"/>
      <c r="S268" s="48"/>
      <c r="U268" s="48"/>
      <c r="V268" s="48"/>
    </row>
    <row r="269" spans="1:23" hidden="1" x14ac:dyDescent="0.25">
      <c r="A269" s="152">
        <f t="shared" si="15"/>
        <v>263</v>
      </c>
      <c r="B269" s="46" t="s">
        <v>627</v>
      </c>
      <c r="C269" s="46" t="str">
        <f>+IF(EstadoSolicitudes[[#This Row],[Aprobado OR]]="Aprobado",EstadoSolicitudes[[#This Row],[Aprobado OR]],
IF(EstadoSolicitudes[[#This Row],[Aprobado OR]]="Cancelado",EstadoSolicitudes[[#This Row],[Aprobado OR]],
IF(EstadoSolicitudes[[#This Row],[Cargue estudio al OR]]&gt;1,"Verificación Técnica",
IF(EstadoSolicitudes[[#This Row],[Fecha solicitud estudio]]&gt;1,"Estudio de conexión",
IF(EstadoSolicitudes[[#This Row],[Insumos revisados]]="No",IF(EstadoSolicitudes[[#This Row],[Fecha entrega insumos OR]]&gt;1,"Evolti","Espera de insumos"),
"Evolti")))))</f>
        <v>Espera de insumos</v>
      </c>
      <c r="D269" s="46" t="s">
        <v>151</v>
      </c>
      <c r="E269" s="222" t="s">
        <v>624</v>
      </c>
      <c r="F269" s="222" t="s">
        <v>625</v>
      </c>
      <c r="G269" s="135" t="s">
        <v>227</v>
      </c>
      <c r="H269" s="46">
        <v>901432582</v>
      </c>
      <c r="I269" s="136" t="s">
        <v>232</v>
      </c>
      <c r="J269" s="48">
        <v>45792</v>
      </c>
      <c r="K269" s="49"/>
      <c r="L269" s="50"/>
      <c r="N269" s="75" t="s">
        <v>229</v>
      </c>
      <c r="R269" s="72"/>
      <c r="S269" s="48"/>
      <c r="U269" s="48"/>
      <c r="V269" s="48"/>
    </row>
    <row r="270" spans="1:23" hidden="1" x14ac:dyDescent="0.25">
      <c r="A270" s="152">
        <f t="shared" si="15"/>
        <v>264</v>
      </c>
      <c r="B270" s="46" t="s">
        <v>628</v>
      </c>
      <c r="C270" s="46" t="str">
        <f>+IF(EstadoSolicitudes[[#This Row],[Aprobado OR]]="Aprobado",EstadoSolicitudes[[#This Row],[Aprobado OR]],
IF(EstadoSolicitudes[[#This Row],[Aprobado OR]]="Cancelado",EstadoSolicitudes[[#This Row],[Aprobado OR]],
IF(EstadoSolicitudes[[#This Row],[Cargue estudio al OR]]&gt;1,"Verificación Técnica",
IF(EstadoSolicitudes[[#This Row],[Fecha solicitud estudio]]&gt;1,"Estudio de conexión",
IF(EstadoSolicitudes[[#This Row],[Insumos revisados]]="No",IF(EstadoSolicitudes[[#This Row],[Fecha entrega insumos OR]]&gt;1,"Evolti","Espera de insumos"),
"Evolti")))))</f>
        <v>Espera de insumos</v>
      </c>
      <c r="D270" s="46" t="s">
        <v>151</v>
      </c>
      <c r="G270" s="135" t="s">
        <v>227</v>
      </c>
      <c r="H270" s="46">
        <v>901432582</v>
      </c>
      <c r="I270" s="136" t="s">
        <v>232</v>
      </c>
      <c r="J270" s="48">
        <v>45793</v>
      </c>
      <c r="K270" s="49"/>
      <c r="L270" s="50"/>
      <c r="N270" s="75" t="s">
        <v>229</v>
      </c>
      <c r="R270" s="72"/>
      <c r="S270" s="48"/>
      <c r="U270" s="48"/>
      <c r="V270" s="48"/>
    </row>
    <row r="271" spans="1:23" hidden="1" x14ac:dyDescent="0.25">
      <c r="A271" s="152">
        <f>+A270+1</f>
        <v>265</v>
      </c>
      <c r="B271" s="46" t="s">
        <v>629</v>
      </c>
      <c r="C271" s="46" t="str">
        <f>+IF(EstadoSolicitudes[[#This Row],[Aprobado OR]]="Aprobado",EstadoSolicitudes[[#This Row],[Aprobado OR]],
IF(EstadoSolicitudes[[#This Row],[Aprobado OR]]="Cancelado",EstadoSolicitudes[[#This Row],[Aprobado OR]],
IF(EstadoSolicitudes[[#This Row],[Cargue estudio al OR]]&gt;1,"Verificación Técnica",
IF(EstadoSolicitudes[[#This Row],[Fecha solicitud estudio]]&gt;1,"Estudio de conexión",
IF(EstadoSolicitudes[[#This Row],[Insumos revisados]]="No",IF(EstadoSolicitudes[[#This Row],[Fecha entrega insumos OR]]&gt;1,"Evolti","Espera de insumos"),
"Evolti")))))</f>
        <v>Espera de insumos</v>
      </c>
      <c r="D271" s="46" t="s">
        <v>151</v>
      </c>
      <c r="G271" s="135" t="s">
        <v>227</v>
      </c>
      <c r="H271" s="46">
        <v>901432582</v>
      </c>
      <c r="I271" s="136" t="s">
        <v>232</v>
      </c>
      <c r="J271" s="48">
        <v>45793</v>
      </c>
      <c r="K271" s="49"/>
      <c r="L271" s="50"/>
      <c r="N271" s="75" t="s">
        <v>229</v>
      </c>
      <c r="R271" s="72"/>
      <c r="S271" s="48"/>
      <c r="U271" s="48"/>
      <c r="V271" s="48"/>
    </row>
    <row r="272" spans="1:23" hidden="1" x14ac:dyDescent="0.25">
      <c r="A272" s="152">
        <f>+A271+1</f>
        <v>266</v>
      </c>
      <c r="B272" s="46" t="s">
        <v>630</v>
      </c>
      <c r="C272" s="46" t="str">
        <f>+IF(EstadoSolicitudes[[#This Row],[Aprobado OR]]="Aprobado",EstadoSolicitudes[[#This Row],[Aprobado OR]],
IF(EstadoSolicitudes[[#This Row],[Aprobado OR]]="Cancelado",EstadoSolicitudes[[#This Row],[Aprobado OR]],
IF(EstadoSolicitudes[[#This Row],[Cargue estudio al OR]]&gt;1,"Verificación Técnica",
IF(EstadoSolicitudes[[#This Row],[Fecha solicitud estudio]]&gt;1,"Estudio de conexión",
IF(EstadoSolicitudes[[#This Row],[Insumos revisados]]="No",IF(EstadoSolicitudes[[#This Row],[Fecha entrega insumos OR]]&gt;1,"Evolti","Espera de insumos"),
"Evolti")))))</f>
        <v>Espera de insumos</v>
      </c>
      <c r="D272" s="46" t="s">
        <v>151</v>
      </c>
      <c r="G272" s="135" t="s">
        <v>227</v>
      </c>
      <c r="H272" s="46">
        <v>901432582</v>
      </c>
      <c r="I272" s="136" t="s">
        <v>232</v>
      </c>
      <c r="J272" s="48">
        <v>45793</v>
      </c>
      <c r="K272" s="49"/>
      <c r="L272" s="50"/>
      <c r="N272" s="75" t="s">
        <v>229</v>
      </c>
      <c r="R272" s="72"/>
      <c r="S272" s="48"/>
      <c r="U272" s="48"/>
      <c r="V272" s="48"/>
    </row>
    <row r="273" spans="1:22" hidden="1" x14ac:dyDescent="0.25">
      <c r="A273" s="152">
        <f t="shared" si="15"/>
        <v>267</v>
      </c>
      <c r="B273" s="46" t="s">
        <v>631</v>
      </c>
      <c r="C273" s="46" t="s">
        <v>144</v>
      </c>
      <c r="D273" s="46" t="s">
        <v>151</v>
      </c>
      <c r="E273" s="222" t="s">
        <v>624</v>
      </c>
      <c r="F273" s="152" t="s">
        <v>632</v>
      </c>
      <c r="G273" s="135" t="s">
        <v>227</v>
      </c>
      <c r="H273" s="46">
        <v>901432582</v>
      </c>
      <c r="I273" s="136" t="s">
        <v>232</v>
      </c>
      <c r="J273" s="48">
        <v>45793</v>
      </c>
      <c r="K273" s="49"/>
      <c r="L273" s="50"/>
      <c r="M273" s="48">
        <v>45805</v>
      </c>
      <c r="N273" s="75" t="s">
        <v>542</v>
      </c>
      <c r="R273" s="72"/>
      <c r="S273" s="48"/>
      <c r="U273" s="48"/>
      <c r="V273" s="48"/>
    </row>
    <row r="274" spans="1:22" hidden="1" x14ac:dyDescent="0.25">
      <c r="A274" s="152">
        <f t="shared" si="15"/>
        <v>268</v>
      </c>
      <c r="B274" s="46" t="s">
        <v>633</v>
      </c>
      <c r="C274" s="46" t="s">
        <v>144</v>
      </c>
      <c r="D274" s="46" t="s">
        <v>151</v>
      </c>
      <c r="E274" s="222" t="s">
        <v>624</v>
      </c>
      <c r="F274" s="152" t="s">
        <v>632</v>
      </c>
      <c r="G274" s="135" t="s">
        <v>227</v>
      </c>
      <c r="H274" s="46">
        <v>901432582</v>
      </c>
      <c r="I274" s="136" t="s">
        <v>232</v>
      </c>
      <c r="J274" s="48">
        <v>45793</v>
      </c>
      <c r="K274" s="49"/>
      <c r="L274" s="50"/>
      <c r="M274" s="48">
        <v>45805</v>
      </c>
      <c r="N274" s="75" t="s">
        <v>542</v>
      </c>
      <c r="R274" s="72"/>
      <c r="S274" s="48"/>
      <c r="U274" s="48"/>
      <c r="V274" s="48"/>
    </row>
    <row r="275" spans="1:22" hidden="1" x14ac:dyDescent="0.25">
      <c r="A275" s="152">
        <f t="shared" si="15"/>
        <v>269</v>
      </c>
      <c r="B275" s="46" t="s">
        <v>634</v>
      </c>
      <c r="C275" s="46" t="s">
        <v>144</v>
      </c>
      <c r="D275" s="46" t="s">
        <v>151</v>
      </c>
      <c r="E275" s="222" t="s">
        <v>624</v>
      </c>
      <c r="F275" s="152" t="s">
        <v>632</v>
      </c>
      <c r="G275" s="135" t="s">
        <v>227</v>
      </c>
      <c r="H275" s="46">
        <v>901432582</v>
      </c>
      <c r="I275" s="136" t="s">
        <v>232</v>
      </c>
      <c r="J275" s="48">
        <v>45793</v>
      </c>
      <c r="K275" s="49"/>
      <c r="L275" s="50"/>
      <c r="M275" s="48">
        <v>45805</v>
      </c>
      <c r="N275" s="75" t="s">
        <v>542</v>
      </c>
      <c r="R275" s="72"/>
      <c r="S275" s="48"/>
      <c r="U275" s="48"/>
      <c r="V275" s="48"/>
    </row>
    <row r="276" spans="1:22" hidden="1" x14ac:dyDescent="0.25">
      <c r="A276" s="152">
        <f t="shared" si="15"/>
        <v>270</v>
      </c>
      <c r="B276" s="46" t="s">
        <v>635</v>
      </c>
      <c r="C276" s="46" t="s">
        <v>144</v>
      </c>
      <c r="D276" s="46" t="s">
        <v>151</v>
      </c>
      <c r="E276" s="235" t="s">
        <v>636</v>
      </c>
      <c r="F276" s="236" t="s">
        <v>637</v>
      </c>
      <c r="G276" s="135" t="s">
        <v>227</v>
      </c>
      <c r="H276" s="46">
        <v>901432582</v>
      </c>
      <c r="I276" s="136" t="s">
        <v>232</v>
      </c>
      <c r="J276" s="48">
        <v>45793</v>
      </c>
      <c r="K276" s="49"/>
      <c r="L276" s="50"/>
      <c r="M276" s="48">
        <v>45805</v>
      </c>
      <c r="N276" s="75" t="s">
        <v>542</v>
      </c>
      <c r="R276" s="72"/>
      <c r="S276" s="48"/>
      <c r="U276" s="48"/>
      <c r="V276" s="48"/>
    </row>
    <row r="277" spans="1:22" hidden="1" x14ac:dyDescent="0.25">
      <c r="A277" s="152">
        <f t="shared" si="15"/>
        <v>271</v>
      </c>
      <c r="B277" s="46" t="s">
        <v>638</v>
      </c>
      <c r="C277" s="46" t="s">
        <v>144</v>
      </c>
      <c r="D277" s="46" t="s">
        <v>151</v>
      </c>
      <c r="E277" s="235" t="s">
        <v>636</v>
      </c>
      <c r="F277" s="236" t="s">
        <v>637</v>
      </c>
      <c r="G277" s="135" t="s">
        <v>227</v>
      </c>
      <c r="H277" s="46">
        <v>901432582</v>
      </c>
      <c r="I277" s="136" t="s">
        <v>232</v>
      </c>
      <c r="J277" s="48">
        <v>45793</v>
      </c>
      <c r="K277" s="49"/>
      <c r="L277" s="50"/>
      <c r="M277" s="48">
        <v>45805</v>
      </c>
      <c r="N277" s="75" t="s">
        <v>542</v>
      </c>
      <c r="R277" s="72"/>
      <c r="S277" s="48"/>
      <c r="U277" s="48"/>
      <c r="V277" s="48"/>
    </row>
    <row r="278" spans="1:22" hidden="1" x14ac:dyDescent="0.25">
      <c r="A278" s="152">
        <f t="shared" si="15"/>
        <v>272</v>
      </c>
      <c r="B278" s="46" t="s">
        <v>639</v>
      </c>
      <c r="C278" s="46" t="s">
        <v>144</v>
      </c>
      <c r="D278" s="46" t="s">
        <v>151</v>
      </c>
      <c r="E278" s="235" t="s">
        <v>636</v>
      </c>
      <c r="F278" s="236" t="s">
        <v>637</v>
      </c>
      <c r="G278" s="135" t="s">
        <v>227</v>
      </c>
      <c r="H278" s="46">
        <v>901432582</v>
      </c>
      <c r="I278" s="136" t="s">
        <v>232</v>
      </c>
      <c r="J278" s="48">
        <v>45793</v>
      </c>
      <c r="K278" s="49"/>
      <c r="L278" s="50"/>
      <c r="M278" s="48">
        <v>45805</v>
      </c>
      <c r="N278" s="75" t="s">
        <v>542</v>
      </c>
      <c r="R278" s="72"/>
      <c r="S278" s="48"/>
      <c r="U278" s="48"/>
      <c r="V278" s="48"/>
    </row>
    <row r="279" spans="1:22" hidden="1" x14ac:dyDescent="0.25">
      <c r="A279" s="152">
        <f t="shared" si="15"/>
        <v>273</v>
      </c>
      <c r="B279" s="46" t="s">
        <v>640</v>
      </c>
      <c r="C279" s="46" t="s">
        <v>144</v>
      </c>
      <c r="D279" s="46" t="s">
        <v>151</v>
      </c>
      <c r="E279" s="222" t="s">
        <v>624</v>
      </c>
      <c r="F279" s="236" t="s">
        <v>632</v>
      </c>
      <c r="G279" s="135" t="s">
        <v>227</v>
      </c>
      <c r="H279" s="46">
        <v>901432582</v>
      </c>
      <c r="I279" s="136" t="s">
        <v>232</v>
      </c>
      <c r="J279" s="48">
        <v>45793</v>
      </c>
      <c r="K279" s="49"/>
      <c r="L279" s="50"/>
      <c r="M279" s="48">
        <v>45805</v>
      </c>
      <c r="N279" s="75" t="s">
        <v>542</v>
      </c>
      <c r="R279" s="72"/>
      <c r="S279" s="48"/>
      <c r="U279" s="48"/>
      <c r="V279" s="48"/>
    </row>
    <row r="280" spans="1:22" hidden="1" x14ac:dyDescent="0.25">
      <c r="A280" s="152">
        <f t="shared" si="15"/>
        <v>274</v>
      </c>
      <c r="B280" s="46" t="s">
        <v>641</v>
      </c>
      <c r="C280" s="46" t="s">
        <v>144</v>
      </c>
      <c r="D280" s="46" t="s">
        <v>151</v>
      </c>
      <c r="E280" s="222" t="s">
        <v>624</v>
      </c>
      <c r="F280" s="236" t="s">
        <v>632</v>
      </c>
      <c r="G280" s="135" t="s">
        <v>227</v>
      </c>
      <c r="H280" s="46">
        <v>901432582</v>
      </c>
      <c r="I280" s="136" t="s">
        <v>232</v>
      </c>
      <c r="J280" s="48">
        <v>45793</v>
      </c>
      <c r="K280" s="49"/>
      <c r="L280" s="50"/>
      <c r="M280" s="48">
        <v>45805</v>
      </c>
      <c r="N280" s="75" t="s">
        <v>542</v>
      </c>
      <c r="R280" s="72"/>
      <c r="S280" s="48"/>
      <c r="U280" s="48"/>
      <c r="V280" s="48"/>
    </row>
    <row r="281" spans="1:22" hidden="1" x14ac:dyDescent="0.25">
      <c r="A281" s="152">
        <f t="shared" si="15"/>
        <v>275</v>
      </c>
      <c r="B281" s="46" t="s">
        <v>642</v>
      </c>
      <c r="C281" s="46" t="s">
        <v>144</v>
      </c>
      <c r="D281" s="46" t="s">
        <v>151</v>
      </c>
      <c r="E281" s="222" t="s">
        <v>624</v>
      </c>
      <c r="F281" s="236" t="s">
        <v>632</v>
      </c>
      <c r="G281" s="135" t="s">
        <v>227</v>
      </c>
      <c r="H281" s="46">
        <v>901432582</v>
      </c>
      <c r="I281" s="136" t="s">
        <v>232</v>
      </c>
      <c r="J281" s="48">
        <v>45793</v>
      </c>
      <c r="K281" s="49"/>
      <c r="L281" s="50"/>
      <c r="M281" s="48">
        <v>45805</v>
      </c>
      <c r="N281" s="75" t="s">
        <v>542</v>
      </c>
      <c r="R281" s="72"/>
      <c r="S281" s="48"/>
      <c r="U281" s="48"/>
      <c r="V281" s="48"/>
    </row>
    <row r="282" spans="1:22" hidden="1" x14ac:dyDescent="0.25">
      <c r="A282" s="152">
        <f t="shared" si="15"/>
        <v>276</v>
      </c>
      <c r="B282" s="46" t="s">
        <v>643</v>
      </c>
      <c r="C282" s="46" t="s">
        <v>144</v>
      </c>
      <c r="D282" s="46" t="s">
        <v>155</v>
      </c>
      <c r="G282" s="135" t="s">
        <v>227</v>
      </c>
      <c r="H282" s="46">
        <v>901432582</v>
      </c>
      <c r="I282" s="136" t="s">
        <v>232</v>
      </c>
      <c r="J282" s="48">
        <v>45798</v>
      </c>
      <c r="K282" s="49">
        <v>38275</v>
      </c>
      <c r="L282" s="50"/>
      <c r="N282" s="75" t="s">
        <v>229</v>
      </c>
      <c r="R282" s="72"/>
      <c r="S282" s="48"/>
      <c r="U282" s="48"/>
      <c r="V282" s="48"/>
    </row>
    <row r="283" spans="1:22" hidden="1" x14ac:dyDescent="0.25">
      <c r="A283" s="152">
        <f t="shared" si="15"/>
        <v>277</v>
      </c>
      <c r="B283" s="46" t="s">
        <v>644</v>
      </c>
      <c r="C283" s="46" t="s">
        <v>144</v>
      </c>
      <c r="D283" s="46" t="s">
        <v>155</v>
      </c>
      <c r="G283" s="135" t="s">
        <v>227</v>
      </c>
      <c r="H283" s="46">
        <v>901432582</v>
      </c>
      <c r="I283" s="136" t="s">
        <v>232</v>
      </c>
      <c r="J283" s="48">
        <v>45798</v>
      </c>
      <c r="K283" s="49">
        <v>38276</v>
      </c>
      <c r="L283" s="50"/>
      <c r="N283" s="75" t="s">
        <v>229</v>
      </c>
      <c r="R283" s="72"/>
      <c r="S283" s="48"/>
      <c r="U283" s="48"/>
      <c r="V283" s="48"/>
    </row>
    <row r="284" spans="1:22" hidden="1" x14ac:dyDescent="0.25">
      <c r="A284" s="152">
        <f t="shared" si="15"/>
        <v>278</v>
      </c>
      <c r="B284" s="46" t="s">
        <v>645</v>
      </c>
      <c r="C284" s="46" t="s">
        <v>144</v>
      </c>
      <c r="D284" s="46" t="s">
        <v>155</v>
      </c>
      <c r="G284" s="135" t="s">
        <v>227</v>
      </c>
      <c r="H284" s="46">
        <v>901432582</v>
      </c>
      <c r="I284" s="136" t="s">
        <v>232</v>
      </c>
      <c r="J284" s="48">
        <v>45798</v>
      </c>
      <c r="K284" s="49">
        <v>38277</v>
      </c>
      <c r="L284" s="50"/>
      <c r="N284" s="75" t="s">
        <v>229</v>
      </c>
      <c r="R284" s="72"/>
      <c r="S284" s="48"/>
      <c r="U284" s="48"/>
      <c r="V284" s="48"/>
    </row>
    <row r="285" spans="1:22" hidden="1" x14ac:dyDescent="0.25">
      <c r="A285" s="152">
        <f t="shared" si="15"/>
        <v>279</v>
      </c>
      <c r="B285" s="46" t="s">
        <v>646</v>
      </c>
      <c r="C285" s="46" t="s">
        <v>144</v>
      </c>
      <c r="D285" s="46" t="s">
        <v>155</v>
      </c>
      <c r="G285" s="135" t="s">
        <v>227</v>
      </c>
      <c r="H285" s="46">
        <v>901432582</v>
      </c>
      <c r="I285" s="136" t="s">
        <v>232</v>
      </c>
      <c r="J285" s="48">
        <v>45798</v>
      </c>
      <c r="K285" s="49">
        <v>38278</v>
      </c>
      <c r="L285" s="50"/>
      <c r="N285" s="75" t="s">
        <v>229</v>
      </c>
      <c r="R285" s="72"/>
      <c r="S285" s="48"/>
      <c r="U285" s="48"/>
      <c r="V285" s="48"/>
    </row>
    <row r="286" spans="1:22" hidden="1" x14ac:dyDescent="0.25">
      <c r="A286" s="152">
        <f t="shared" si="15"/>
        <v>280</v>
      </c>
      <c r="B286" s="46" t="s">
        <v>647</v>
      </c>
      <c r="C286" s="46" t="s">
        <v>144</v>
      </c>
      <c r="D286" s="46" t="s">
        <v>155</v>
      </c>
      <c r="G286" s="135" t="s">
        <v>227</v>
      </c>
      <c r="H286" s="46">
        <v>901432582</v>
      </c>
      <c r="I286" s="136" t="s">
        <v>232</v>
      </c>
      <c r="J286" s="48">
        <v>45798</v>
      </c>
      <c r="K286" s="49">
        <v>38279</v>
      </c>
      <c r="L286" s="50"/>
      <c r="N286" s="75" t="s">
        <v>229</v>
      </c>
      <c r="R286" s="72"/>
      <c r="S286" s="48"/>
      <c r="U286" s="48"/>
      <c r="V286" s="48"/>
    </row>
    <row r="287" spans="1:22" hidden="1" x14ac:dyDescent="0.25">
      <c r="A287" s="152">
        <f t="shared" si="15"/>
        <v>281</v>
      </c>
      <c r="B287" s="46" t="s">
        <v>648</v>
      </c>
      <c r="C287" s="46" t="s">
        <v>144</v>
      </c>
      <c r="D287" s="46" t="s">
        <v>155</v>
      </c>
      <c r="G287" s="135" t="s">
        <v>227</v>
      </c>
      <c r="H287" s="46">
        <v>901432582</v>
      </c>
      <c r="I287" s="136" t="s">
        <v>232</v>
      </c>
      <c r="J287" s="48">
        <v>45798</v>
      </c>
      <c r="K287" s="49">
        <v>38280</v>
      </c>
      <c r="L287" s="50"/>
      <c r="N287" s="75" t="s">
        <v>229</v>
      </c>
      <c r="R287" s="72"/>
      <c r="S287" s="48"/>
      <c r="U287" s="48"/>
      <c r="V287" s="48"/>
    </row>
    <row r="288" spans="1:22" hidden="1" x14ac:dyDescent="0.25">
      <c r="A288" s="152">
        <f t="shared" ref="A288:A308" si="16">+A287+1</f>
        <v>282</v>
      </c>
      <c r="B288" s="46" t="s">
        <v>649</v>
      </c>
      <c r="C288" s="46" t="str">
        <f>+IF(EstadoSolicitudes[[#This Row],[Aprobado OR]]="Aprobado",EstadoSolicitudes[[#This Row],[Aprobado OR]],
IF(EstadoSolicitudes[[#This Row],[Aprobado OR]]="Cancelado",EstadoSolicitudes[[#This Row],[Aprobado OR]],
IF(EstadoSolicitudes[[#This Row],[Cargue estudio al OR]]&gt;1,"Verificación Técnica",
IF(EstadoSolicitudes[[#This Row],[Fecha solicitud estudio]]&gt;1,"Estudio de conexión",
IF(EstadoSolicitudes[[#This Row],[Insumos revisados]]="No",IF(EstadoSolicitudes[[#This Row],[Fecha entrega insumos OR]]&gt;1,"Evolti","Espera de insumos"),
"Evolti")))))</f>
        <v>Evolti</v>
      </c>
      <c r="I288" s="78"/>
      <c r="J288" s="48"/>
      <c r="K288" s="49"/>
      <c r="L288" s="50"/>
      <c r="R288" s="72"/>
      <c r="S288" s="48"/>
      <c r="U288" s="48"/>
      <c r="V288" s="48"/>
    </row>
    <row r="289" spans="1:22" hidden="1" x14ac:dyDescent="0.25">
      <c r="A289" s="152">
        <f t="shared" si="16"/>
        <v>283</v>
      </c>
      <c r="B289" s="46" t="s">
        <v>650</v>
      </c>
      <c r="C289" s="46" t="str">
        <f>+IF(EstadoSolicitudes[[#This Row],[Aprobado OR]]="Aprobado",EstadoSolicitudes[[#This Row],[Aprobado OR]],
IF(EstadoSolicitudes[[#This Row],[Aprobado OR]]="Cancelado",EstadoSolicitudes[[#This Row],[Aprobado OR]],
IF(EstadoSolicitudes[[#This Row],[Cargue estudio al OR]]&gt;1,"Verificación Técnica",
IF(EstadoSolicitudes[[#This Row],[Fecha solicitud estudio]]&gt;1,"Estudio de conexión",
IF(EstadoSolicitudes[[#This Row],[Insumos revisados]]="No",IF(EstadoSolicitudes[[#This Row],[Fecha entrega insumos OR]]&gt;1,"Evolti","Espera de insumos"),
"Evolti")))))</f>
        <v>Evolti</v>
      </c>
      <c r="I289" s="78"/>
      <c r="J289" s="48"/>
      <c r="K289" s="49"/>
      <c r="L289" s="50"/>
      <c r="R289" s="72"/>
      <c r="S289" s="48"/>
      <c r="U289" s="48"/>
      <c r="V289" s="48"/>
    </row>
    <row r="290" spans="1:22" hidden="1" x14ac:dyDescent="0.25">
      <c r="A290" s="152">
        <f t="shared" si="16"/>
        <v>284</v>
      </c>
      <c r="B290" s="46" t="s">
        <v>651</v>
      </c>
      <c r="C290" s="46" t="str">
        <f>+IF(EstadoSolicitudes[[#This Row],[Aprobado OR]]="Aprobado",EstadoSolicitudes[[#This Row],[Aprobado OR]],
IF(EstadoSolicitudes[[#This Row],[Aprobado OR]]="Cancelado",EstadoSolicitudes[[#This Row],[Aprobado OR]],
IF(EstadoSolicitudes[[#This Row],[Cargue estudio al OR]]&gt;1,"Verificación Técnica",
IF(EstadoSolicitudes[[#This Row],[Fecha solicitud estudio]]&gt;1,"Estudio de conexión",
IF(EstadoSolicitudes[[#This Row],[Insumos revisados]]="No",IF(EstadoSolicitudes[[#This Row],[Fecha entrega insumos OR]]&gt;1,"Evolti","Espera de insumos"),
"Evolti")))))</f>
        <v>Evolti</v>
      </c>
      <c r="I290" s="78"/>
      <c r="J290" s="48"/>
      <c r="K290" s="49"/>
      <c r="L290" s="50"/>
      <c r="R290" s="72"/>
      <c r="S290" s="48"/>
      <c r="U290" s="48"/>
      <c r="V290" s="48"/>
    </row>
    <row r="291" spans="1:22" hidden="1" x14ac:dyDescent="0.25">
      <c r="A291" s="152">
        <f t="shared" si="16"/>
        <v>285</v>
      </c>
      <c r="B291" s="46" t="s">
        <v>652</v>
      </c>
      <c r="C291" s="46" t="s">
        <v>144</v>
      </c>
      <c r="D291" s="46" t="s">
        <v>153</v>
      </c>
      <c r="E291" s="46" t="s">
        <v>653</v>
      </c>
      <c r="F291" s="46" t="s">
        <v>654</v>
      </c>
      <c r="G291" s="135" t="s">
        <v>227</v>
      </c>
      <c r="H291" s="46">
        <v>901432582</v>
      </c>
      <c r="I291" s="136" t="s">
        <v>232</v>
      </c>
      <c r="J291" s="48">
        <v>45799</v>
      </c>
      <c r="K291" s="49">
        <v>4286</v>
      </c>
      <c r="L291" s="50" t="s">
        <v>241</v>
      </c>
      <c r="N291" s="75" t="s">
        <v>542</v>
      </c>
      <c r="R291" s="72"/>
      <c r="S291" s="48"/>
      <c r="U291" s="48"/>
      <c r="V291" s="48"/>
    </row>
    <row r="292" spans="1:22" hidden="1" x14ac:dyDescent="0.25">
      <c r="A292" s="152">
        <f t="shared" si="16"/>
        <v>286</v>
      </c>
      <c r="B292" s="46" t="s">
        <v>655</v>
      </c>
      <c r="C292" s="46" t="s">
        <v>144</v>
      </c>
      <c r="D292" s="46" t="s">
        <v>153</v>
      </c>
      <c r="E292" s="46" t="s">
        <v>653</v>
      </c>
      <c r="F292" s="46" t="s">
        <v>654</v>
      </c>
      <c r="G292" s="135" t="s">
        <v>227</v>
      </c>
      <c r="H292" s="46">
        <v>901432582</v>
      </c>
      <c r="I292" s="136" t="s">
        <v>267</v>
      </c>
      <c r="J292" s="48">
        <v>45799</v>
      </c>
      <c r="K292" s="49">
        <v>4287</v>
      </c>
      <c r="L292" s="50" t="s">
        <v>268</v>
      </c>
      <c r="N292" s="75" t="s">
        <v>542</v>
      </c>
      <c r="R292" s="72"/>
      <c r="S292" s="48"/>
      <c r="U292" s="48"/>
      <c r="V292" s="48"/>
    </row>
    <row r="293" spans="1:22" hidden="1" x14ac:dyDescent="0.25">
      <c r="A293" s="152">
        <f t="shared" si="16"/>
        <v>287</v>
      </c>
      <c r="B293" s="46" t="s">
        <v>656</v>
      </c>
      <c r="C293" s="46" t="s">
        <v>144</v>
      </c>
      <c r="D293" s="46" t="s">
        <v>153</v>
      </c>
      <c r="E293" s="46" t="s">
        <v>653</v>
      </c>
      <c r="F293" s="46" t="s">
        <v>654</v>
      </c>
      <c r="G293" s="135" t="s">
        <v>227</v>
      </c>
      <c r="H293" s="46">
        <v>901432582</v>
      </c>
      <c r="I293" s="136" t="s">
        <v>537</v>
      </c>
      <c r="J293" s="48">
        <v>45799</v>
      </c>
      <c r="K293" s="49">
        <v>4288</v>
      </c>
      <c r="L293" s="50" t="s">
        <v>538</v>
      </c>
      <c r="N293" s="75" t="s">
        <v>542</v>
      </c>
      <c r="R293" s="72"/>
      <c r="S293" s="48"/>
      <c r="U293" s="48"/>
      <c r="V293" s="48"/>
    </row>
    <row r="294" spans="1:22" hidden="1" x14ac:dyDescent="0.25">
      <c r="A294" s="152">
        <f t="shared" si="16"/>
        <v>288</v>
      </c>
      <c r="B294" s="46" t="s">
        <v>657</v>
      </c>
      <c r="C294" s="46" t="str">
        <f>+IF(EstadoSolicitudes[[#This Row],[Aprobado OR]]="Aprobado",EstadoSolicitudes[[#This Row],[Aprobado OR]],
IF(EstadoSolicitudes[[#This Row],[Aprobado OR]]="Cancelado",EstadoSolicitudes[[#This Row],[Aprobado OR]],
IF(EstadoSolicitudes[[#This Row],[Cargue estudio al OR]]&gt;1,"Verificación Técnica",
IF(EstadoSolicitudes[[#This Row],[Fecha solicitud estudio]]&gt;1,"Estudio de conexión",
IF(EstadoSolicitudes[[#This Row],[Insumos revisados]]="No",IF(EstadoSolicitudes[[#This Row],[Fecha entrega insumos OR]]&gt;1,"Evolti","Espera de insumos"),
"Evolti")))))</f>
        <v>Evolti</v>
      </c>
      <c r="D294" s="46" t="s">
        <v>153</v>
      </c>
      <c r="E294" s="222" t="s">
        <v>658</v>
      </c>
      <c r="G294" s="135" t="s">
        <v>227</v>
      </c>
      <c r="H294" s="46">
        <v>901432582</v>
      </c>
      <c r="I294" s="136" t="s">
        <v>232</v>
      </c>
      <c r="J294" s="48">
        <v>45798</v>
      </c>
      <c r="K294" s="49">
        <v>4282</v>
      </c>
      <c r="L294" s="50" t="s">
        <v>241</v>
      </c>
      <c r="M294" s="46" t="s">
        <v>659</v>
      </c>
      <c r="N294" s="75" t="s">
        <v>229</v>
      </c>
      <c r="R294" s="72"/>
      <c r="S294" s="48"/>
      <c r="U294" s="48"/>
      <c r="V294" s="48"/>
    </row>
    <row r="295" spans="1:22" hidden="1" x14ac:dyDescent="0.25">
      <c r="A295" s="152">
        <f t="shared" si="16"/>
        <v>289</v>
      </c>
      <c r="B295" s="46" t="s">
        <v>660</v>
      </c>
      <c r="C295" s="46" t="str">
        <f>+IF(EstadoSolicitudes[[#This Row],[Aprobado OR]]="Aprobado",EstadoSolicitudes[[#This Row],[Aprobado OR]],
IF(EstadoSolicitudes[[#This Row],[Aprobado OR]]="Cancelado",EstadoSolicitudes[[#This Row],[Aprobado OR]],
IF(EstadoSolicitudes[[#This Row],[Cargue estudio al OR]]&gt;1,"Verificación Técnica",
IF(EstadoSolicitudes[[#This Row],[Fecha solicitud estudio]]&gt;1,"Estudio de conexión",
IF(EstadoSolicitudes[[#This Row],[Insumos revisados]]="No",IF(EstadoSolicitudes[[#This Row],[Fecha entrega insumos OR]]&gt;1,"Evolti","Espera de insumos"),
"Evolti")))))</f>
        <v>Evolti</v>
      </c>
      <c r="D295" s="46" t="s">
        <v>153</v>
      </c>
      <c r="E295" s="222" t="s">
        <v>658</v>
      </c>
      <c r="G295" s="135" t="s">
        <v>227</v>
      </c>
      <c r="H295" s="46">
        <v>901432582</v>
      </c>
      <c r="I295" s="159" t="s">
        <v>267</v>
      </c>
      <c r="J295" s="48">
        <v>45798</v>
      </c>
      <c r="K295" s="49">
        <v>4281</v>
      </c>
      <c r="L295" s="50" t="s">
        <v>268</v>
      </c>
      <c r="M295" s="46" t="s">
        <v>659</v>
      </c>
      <c r="N295" s="75" t="s">
        <v>229</v>
      </c>
      <c r="R295" s="72"/>
      <c r="S295" s="48"/>
      <c r="U295" s="48"/>
      <c r="V295" s="48"/>
    </row>
    <row r="296" spans="1:22" hidden="1" x14ac:dyDescent="0.25">
      <c r="A296" s="152">
        <f t="shared" si="16"/>
        <v>290</v>
      </c>
      <c r="B296" s="46" t="s">
        <v>661</v>
      </c>
      <c r="C296" s="46" t="str">
        <f>+IF(EstadoSolicitudes[[#This Row],[Aprobado OR]]="Aprobado",EstadoSolicitudes[[#This Row],[Aprobado OR]],
IF(EstadoSolicitudes[[#This Row],[Aprobado OR]]="Cancelado",EstadoSolicitudes[[#This Row],[Aprobado OR]],
IF(EstadoSolicitudes[[#This Row],[Cargue estudio al OR]]&gt;1,"Verificación Técnica",
IF(EstadoSolicitudes[[#This Row],[Fecha solicitud estudio]]&gt;1,"Estudio de conexión",
IF(EstadoSolicitudes[[#This Row],[Insumos revisados]]="No",IF(EstadoSolicitudes[[#This Row],[Fecha entrega insumos OR]]&gt;1,"Evolti","Espera de insumos"),
"Evolti")))))</f>
        <v>Evolti</v>
      </c>
      <c r="D296" s="46" t="s">
        <v>153</v>
      </c>
      <c r="E296" s="222" t="s">
        <v>658</v>
      </c>
      <c r="G296" s="135" t="s">
        <v>227</v>
      </c>
      <c r="H296" s="46">
        <v>901432582</v>
      </c>
      <c r="I296" s="159" t="s">
        <v>662</v>
      </c>
      <c r="J296" s="48">
        <v>45798</v>
      </c>
      <c r="K296" s="49">
        <v>4283</v>
      </c>
      <c r="L296" s="50" t="s">
        <v>663</v>
      </c>
      <c r="M296" s="46" t="s">
        <v>659</v>
      </c>
      <c r="N296" s="75" t="s">
        <v>229</v>
      </c>
      <c r="R296" s="72"/>
      <c r="S296" s="48"/>
      <c r="U296" s="48"/>
      <c r="V296" s="48"/>
    </row>
    <row r="297" spans="1:22" hidden="1" x14ac:dyDescent="0.25">
      <c r="A297" s="152">
        <f t="shared" si="16"/>
        <v>291</v>
      </c>
      <c r="B297" s="46" t="s">
        <v>664</v>
      </c>
      <c r="C297" s="46" t="str">
        <f>+IF(EstadoSolicitudes[[#This Row],[Aprobado OR]]="Aprobado",EstadoSolicitudes[[#This Row],[Aprobado OR]],
IF(EstadoSolicitudes[[#This Row],[Aprobado OR]]="Cancelado",EstadoSolicitudes[[#This Row],[Aprobado OR]],
IF(EstadoSolicitudes[[#This Row],[Cargue estudio al OR]]&gt;1,"Verificación Técnica",
IF(EstadoSolicitudes[[#This Row],[Fecha solicitud estudio]]&gt;1,"Estudio de conexión",
IF(EstadoSolicitudes[[#This Row],[Insumos revisados]]="No",IF(EstadoSolicitudes[[#This Row],[Fecha entrega insumos OR]]&gt;1,"Evolti","Espera de insumos"),
"Evolti")))))</f>
        <v>Espera de insumos</v>
      </c>
      <c r="D297" s="46" t="s">
        <v>158</v>
      </c>
      <c r="G297" s="135" t="s">
        <v>227</v>
      </c>
      <c r="H297" s="46">
        <v>901432582</v>
      </c>
      <c r="I297" s="136" t="s">
        <v>232</v>
      </c>
      <c r="J297" s="48">
        <v>45798</v>
      </c>
      <c r="K297" s="49">
        <v>790966293</v>
      </c>
      <c r="L297" s="50"/>
      <c r="N297" s="75" t="s">
        <v>229</v>
      </c>
      <c r="R297" s="72"/>
      <c r="S297" s="48"/>
      <c r="U297" s="48"/>
      <c r="V297" s="48"/>
    </row>
    <row r="298" spans="1:22" hidden="1" x14ac:dyDescent="0.25">
      <c r="A298" s="152">
        <f t="shared" si="16"/>
        <v>292</v>
      </c>
      <c r="B298" s="46" t="s">
        <v>665</v>
      </c>
      <c r="C298" s="46" t="str">
        <f>+IF(EstadoSolicitudes[[#This Row],[Aprobado OR]]="Aprobado",EstadoSolicitudes[[#This Row],[Aprobado OR]],
IF(EstadoSolicitudes[[#This Row],[Aprobado OR]]="Cancelado",EstadoSolicitudes[[#This Row],[Aprobado OR]],
IF(EstadoSolicitudes[[#This Row],[Cargue estudio al OR]]&gt;1,"Verificación Técnica",
IF(EstadoSolicitudes[[#This Row],[Fecha solicitud estudio]]&gt;1,"Estudio de conexión",
IF(EstadoSolicitudes[[#This Row],[Insumos revisados]]="No",IF(EstadoSolicitudes[[#This Row],[Fecha entrega insumos OR]]&gt;1,"Evolti","Espera de insumos"),
"Evolti")))))</f>
        <v>Espera de insumos</v>
      </c>
      <c r="D298" s="46" t="s">
        <v>158</v>
      </c>
      <c r="G298" s="135" t="s">
        <v>227</v>
      </c>
      <c r="H298" s="46">
        <v>901432582</v>
      </c>
      <c r="I298" s="136" t="s">
        <v>232</v>
      </c>
      <c r="J298" s="48">
        <v>45798</v>
      </c>
      <c r="K298" s="49">
        <v>791000200</v>
      </c>
      <c r="L298" s="50"/>
      <c r="N298" s="75" t="s">
        <v>229</v>
      </c>
      <c r="R298" s="72"/>
      <c r="S298" s="48"/>
      <c r="U298" s="48"/>
      <c r="V298" s="48"/>
    </row>
    <row r="299" spans="1:22" hidden="1" x14ac:dyDescent="0.25">
      <c r="A299" s="152">
        <f t="shared" si="16"/>
        <v>293</v>
      </c>
      <c r="B299" s="46" t="s">
        <v>666</v>
      </c>
      <c r="C299" s="46" t="str">
        <f>+IF(EstadoSolicitudes[[#This Row],[Aprobado OR]]="Aprobado",EstadoSolicitudes[[#This Row],[Aprobado OR]],
IF(EstadoSolicitudes[[#This Row],[Aprobado OR]]="Cancelado",EstadoSolicitudes[[#This Row],[Aprobado OR]],
IF(EstadoSolicitudes[[#This Row],[Cargue estudio al OR]]&gt;1,"Verificación Técnica",
IF(EstadoSolicitudes[[#This Row],[Fecha solicitud estudio]]&gt;1,"Estudio de conexión",
IF(EstadoSolicitudes[[#This Row],[Insumos revisados]]="No",IF(EstadoSolicitudes[[#This Row],[Fecha entrega insumos OR]]&gt;1,"Evolti","Espera de insumos"),
"Evolti")))))</f>
        <v>Espera de insumos</v>
      </c>
      <c r="D299" s="46" t="s">
        <v>158</v>
      </c>
      <c r="G299" s="135" t="s">
        <v>227</v>
      </c>
      <c r="H299" s="46">
        <v>901432582</v>
      </c>
      <c r="I299" s="136" t="s">
        <v>232</v>
      </c>
      <c r="J299" s="48">
        <v>45798</v>
      </c>
      <c r="K299" s="49">
        <v>791013039</v>
      </c>
      <c r="L299" s="50"/>
      <c r="N299" s="75" t="s">
        <v>229</v>
      </c>
      <c r="R299" s="72"/>
      <c r="S299" s="48"/>
      <c r="U299" s="48"/>
      <c r="V299" s="48"/>
    </row>
    <row r="300" spans="1:22" hidden="1" x14ac:dyDescent="0.25">
      <c r="A300" s="152">
        <f t="shared" si="16"/>
        <v>294</v>
      </c>
      <c r="B300" s="46" t="s">
        <v>667</v>
      </c>
      <c r="C300" s="46" t="s">
        <v>144</v>
      </c>
      <c r="D300" s="46" t="s">
        <v>151</v>
      </c>
      <c r="E300" s="222" t="s">
        <v>624</v>
      </c>
      <c r="F300" s="222" t="s">
        <v>632</v>
      </c>
      <c r="G300" s="135" t="s">
        <v>227</v>
      </c>
      <c r="H300" s="46">
        <v>901432582</v>
      </c>
      <c r="I300" s="136" t="s">
        <v>537</v>
      </c>
      <c r="J300" s="48">
        <v>45799</v>
      </c>
      <c r="K300" s="49"/>
      <c r="L300" s="50"/>
      <c r="N300" s="75" t="s">
        <v>229</v>
      </c>
      <c r="R300" s="72"/>
      <c r="S300" s="48"/>
      <c r="U300" s="48"/>
      <c r="V300" s="48"/>
    </row>
    <row r="301" spans="1:22" hidden="1" x14ac:dyDescent="0.25">
      <c r="A301" s="152">
        <f>+A300+1</f>
        <v>295</v>
      </c>
      <c r="B301" s="46" t="s">
        <v>668</v>
      </c>
      <c r="C301" s="46" t="s">
        <v>144</v>
      </c>
      <c r="D301" s="46" t="s">
        <v>151</v>
      </c>
      <c r="E301" s="222" t="s">
        <v>624</v>
      </c>
      <c r="F301" s="222" t="s">
        <v>632</v>
      </c>
      <c r="G301" s="135" t="s">
        <v>227</v>
      </c>
      <c r="H301" s="46">
        <v>901432582</v>
      </c>
      <c r="I301" s="136" t="s">
        <v>537</v>
      </c>
      <c r="J301" s="48">
        <v>45799</v>
      </c>
      <c r="K301" s="49"/>
      <c r="L301" s="50"/>
      <c r="N301" s="75" t="s">
        <v>229</v>
      </c>
      <c r="R301" s="72"/>
      <c r="S301" s="48"/>
      <c r="U301" s="48"/>
      <c r="V301" s="48"/>
    </row>
    <row r="302" spans="1:22" hidden="1" x14ac:dyDescent="0.25">
      <c r="A302" s="152">
        <f>+A301+1</f>
        <v>296</v>
      </c>
      <c r="B302" s="46" t="s">
        <v>669</v>
      </c>
      <c r="C302" s="46" t="s">
        <v>144</v>
      </c>
      <c r="D302" s="46" t="s">
        <v>151</v>
      </c>
      <c r="E302" s="222" t="s">
        <v>624</v>
      </c>
      <c r="F302" s="222" t="s">
        <v>632</v>
      </c>
      <c r="G302" s="135" t="s">
        <v>227</v>
      </c>
      <c r="H302" s="46">
        <v>901432582</v>
      </c>
      <c r="I302" s="136" t="s">
        <v>537</v>
      </c>
      <c r="J302" s="48">
        <v>45799</v>
      </c>
      <c r="K302" s="49"/>
      <c r="L302" s="50"/>
      <c r="N302" s="75" t="s">
        <v>229</v>
      </c>
      <c r="R302" s="72"/>
      <c r="S302" s="48"/>
      <c r="U302" s="48"/>
      <c r="V302" s="48"/>
    </row>
    <row r="303" spans="1:22" hidden="1" x14ac:dyDescent="0.25">
      <c r="A303" s="152">
        <f t="shared" si="16"/>
        <v>297</v>
      </c>
      <c r="B303" s="46" t="s">
        <v>670</v>
      </c>
      <c r="C303" s="46" t="str">
        <f>+IF(EstadoSolicitudes[[#This Row],[Aprobado OR]]="Aprobado",EstadoSolicitudes[[#This Row],[Aprobado OR]],
IF(EstadoSolicitudes[[#This Row],[Aprobado OR]]="Cancelado",EstadoSolicitudes[[#This Row],[Aprobado OR]],
IF(EstadoSolicitudes[[#This Row],[Cargue estudio al OR]]&gt;1,"Verificación Técnica",
IF(EstadoSolicitudes[[#This Row],[Fecha solicitud estudio]]&gt;1,"Estudio de conexión",
IF(EstadoSolicitudes[[#This Row],[Insumos revisados]]="No",IF(EstadoSolicitudes[[#This Row],[Fecha entrega insumos OR]]&gt;1,"Evolti","Espera de insumos"),
"Evolti")))))</f>
        <v>Evolti</v>
      </c>
      <c r="D303" s="46" t="s">
        <v>151</v>
      </c>
      <c r="G303" s="135" t="s">
        <v>227</v>
      </c>
      <c r="H303" s="46">
        <v>901432582</v>
      </c>
      <c r="I303" s="136" t="s">
        <v>671</v>
      </c>
      <c r="J303" s="48">
        <v>45799</v>
      </c>
      <c r="K303" s="49"/>
      <c r="L303" s="50"/>
      <c r="M303" s="48">
        <v>45806</v>
      </c>
      <c r="N303" s="75" t="s">
        <v>542</v>
      </c>
      <c r="R303" s="72"/>
      <c r="S303" s="48"/>
      <c r="U303" s="48"/>
      <c r="V303" s="48"/>
    </row>
    <row r="304" spans="1:22" hidden="1" x14ac:dyDescent="0.25">
      <c r="A304" s="152">
        <f t="shared" si="16"/>
        <v>298</v>
      </c>
      <c r="B304" s="46" t="s">
        <v>672</v>
      </c>
      <c r="C304" s="46" t="str">
        <f>+IF(EstadoSolicitudes[[#This Row],[Aprobado OR]]="Aprobado",EstadoSolicitudes[[#This Row],[Aprobado OR]],
IF(EstadoSolicitudes[[#This Row],[Aprobado OR]]="Cancelado",EstadoSolicitudes[[#This Row],[Aprobado OR]],
IF(EstadoSolicitudes[[#This Row],[Cargue estudio al OR]]&gt;1,"Verificación Técnica",
IF(EstadoSolicitudes[[#This Row],[Fecha solicitud estudio]]&gt;1,"Estudio de conexión",
IF(EstadoSolicitudes[[#This Row],[Insumos revisados]]="No",IF(EstadoSolicitudes[[#This Row],[Fecha entrega insumos OR]]&gt;1,"Evolti","Espera de insumos"),
"Evolti")))))</f>
        <v>Evolti</v>
      </c>
      <c r="D304" s="46" t="s">
        <v>151</v>
      </c>
      <c r="G304" s="135" t="s">
        <v>227</v>
      </c>
      <c r="H304" s="46">
        <v>901432582</v>
      </c>
      <c r="I304" s="136" t="s">
        <v>671</v>
      </c>
      <c r="J304" s="48">
        <v>45799</v>
      </c>
      <c r="K304" s="49"/>
      <c r="L304" s="50"/>
      <c r="M304" s="48">
        <v>45806</v>
      </c>
      <c r="N304" s="75" t="s">
        <v>542</v>
      </c>
      <c r="R304" s="72"/>
      <c r="S304" s="48"/>
      <c r="U304" s="48"/>
      <c r="V304" s="48"/>
    </row>
    <row r="305" spans="1:23" hidden="1" x14ac:dyDescent="0.25">
      <c r="A305" s="152">
        <f t="shared" si="16"/>
        <v>299</v>
      </c>
      <c r="B305" s="46" t="s">
        <v>673</v>
      </c>
      <c r="C305" s="46" t="str">
        <f>+IF(EstadoSolicitudes[[#This Row],[Aprobado OR]]="Aprobado",EstadoSolicitudes[[#This Row],[Aprobado OR]],
IF(EstadoSolicitudes[[#This Row],[Aprobado OR]]="Cancelado",EstadoSolicitudes[[#This Row],[Aprobado OR]],
IF(EstadoSolicitudes[[#This Row],[Cargue estudio al OR]]&gt;1,"Verificación Técnica",
IF(EstadoSolicitudes[[#This Row],[Fecha solicitud estudio]]&gt;1,"Estudio de conexión",
IF(EstadoSolicitudes[[#This Row],[Insumos revisados]]="No",IF(EstadoSolicitudes[[#This Row],[Fecha entrega insumos OR]]&gt;1,"Evolti","Espera de insumos"),
"Evolti")))))</f>
        <v>Evolti</v>
      </c>
      <c r="D305" s="46" t="s">
        <v>151</v>
      </c>
      <c r="G305" s="135" t="s">
        <v>227</v>
      </c>
      <c r="H305" s="46">
        <v>901432582</v>
      </c>
      <c r="I305" s="136" t="s">
        <v>671</v>
      </c>
      <c r="J305" s="48">
        <v>45799</v>
      </c>
      <c r="K305" s="49"/>
      <c r="L305" s="50"/>
      <c r="M305" s="48">
        <v>45806</v>
      </c>
      <c r="N305" s="75" t="s">
        <v>542</v>
      </c>
      <c r="R305" s="72"/>
      <c r="S305" s="48"/>
      <c r="U305" s="48"/>
      <c r="V305" s="48"/>
    </row>
    <row r="306" spans="1:23" hidden="1" x14ac:dyDescent="0.25">
      <c r="A306" s="152">
        <f t="shared" si="16"/>
        <v>300</v>
      </c>
      <c r="B306" s="46" t="s">
        <v>649</v>
      </c>
      <c r="C306" s="46" t="str">
        <f>+IF(EstadoSolicitudes[[#This Row],[Aprobado OR]]="Aprobado",EstadoSolicitudes[[#This Row],[Aprobado OR]],
IF(EstadoSolicitudes[[#This Row],[Aprobado OR]]="Cancelado",EstadoSolicitudes[[#This Row],[Aprobado OR]],
IF(EstadoSolicitudes[[#This Row],[Cargue estudio al OR]]&gt;1,"Verificación Técnica",
IF(EstadoSolicitudes[[#This Row],[Fecha solicitud estudio]]&gt;1,"Estudio de conexión",
IF(EstadoSolicitudes[[#This Row],[Insumos revisados]]="No",IF(EstadoSolicitudes[[#This Row],[Fecha entrega insumos OR]]&gt;1,"Evolti","Espera de insumos"),
"Evolti")))))</f>
        <v>Espera de insumos</v>
      </c>
      <c r="D306" s="46" t="s">
        <v>153</v>
      </c>
      <c r="G306" s="135" t="s">
        <v>227</v>
      </c>
      <c r="H306" s="46">
        <v>901432582</v>
      </c>
      <c r="I306" s="136" t="s">
        <v>232</v>
      </c>
      <c r="J306" s="48">
        <v>45799</v>
      </c>
      <c r="K306" s="49">
        <v>4289</v>
      </c>
      <c r="L306" s="50" t="s">
        <v>241</v>
      </c>
      <c r="N306" s="75" t="s">
        <v>229</v>
      </c>
      <c r="R306" s="72"/>
      <c r="S306" s="48"/>
      <c r="U306" s="48"/>
      <c r="V306" s="48"/>
    </row>
    <row r="307" spans="1:23" hidden="1" x14ac:dyDescent="0.25">
      <c r="A307" s="152">
        <f t="shared" si="16"/>
        <v>301</v>
      </c>
      <c r="B307" s="46" t="s">
        <v>650</v>
      </c>
      <c r="C307" s="46" t="str">
        <f>+IF(EstadoSolicitudes[[#This Row],[Aprobado OR]]="Aprobado",EstadoSolicitudes[[#This Row],[Aprobado OR]],
IF(EstadoSolicitudes[[#This Row],[Aprobado OR]]="Cancelado",EstadoSolicitudes[[#This Row],[Aprobado OR]],
IF(EstadoSolicitudes[[#This Row],[Cargue estudio al OR]]&gt;1,"Verificación Técnica",
IF(EstadoSolicitudes[[#This Row],[Fecha solicitud estudio]]&gt;1,"Estudio de conexión",
IF(EstadoSolicitudes[[#This Row],[Insumos revisados]]="No",IF(EstadoSolicitudes[[#This Row],[Fecha entrega insumos OR]]&gt;1,"Evolti","Espera de insumos"),
"Evolti")))))</f>
        <v>Espera de insumos</v>
      </c>
      <c r="D307" s="46" t="s">
        <v>153</v>
      </c>
      <c r="G307" s="135" t="s">
        <v>227</v>
      </c>
      <c r="H307" s="46">
        <v>901432582</v>
      </c>
      <c r="I307" s="159" t="s">
        <v>267</v>
      </c>
      <c r="J307" s="48">
        <v>45799</v>
      </c>
      <c r="K307" s="49">
        <v>4290</v>
      </c>
      <c r="L307" s="50" t="s">
        <v>268</v>
      </c>
      <c r="N307" s="75" t="s">
        <v>229</v>
      </c>
      <c r="R307" s="72"/>
      <c r="S307" s="48"/>
      <c r="U307" s="48"/>
      <c r="V307" s="48"/>
    </row>
    <row r="308" spans="1:23" hidden="1" x14ac:dyDescent="0.25">
      <c r="A308" s="152">
        <f t="shared" si="16"/>
        <v>302</v>
      </c>
      <c r="B308" s="46" t="s">
        <v>651</v>
      </c>
      <c r="C308" s="46" t="str">
        <f>+IF(EstadoSolicitudes[[#This Row],[Aprobado OR]]="Aprobado",EstadoSolicitudes[[#This Row],[Aprobado OR]],
IF(EstadoSolicitudes[[#This Row],[Aprobado OR]]="Cancelado",EstadoSolicitudes[[#This Row],[Aprobado OR]],
IF(EstadoSolicitudes[[#This Row],[Cargue estudio al OR]]&gt;1,"Verificación Técnica",
IF(EstadoSolicitudes[[#This Row],[Fecha solicitud estudio]]&gt;1,"Estudio de conexión",
IF(EstadoSolicitudes[[#This Row],[Insumos revisados]]="No",IF(EstadoSolicitudes[[#This Row],[Fecha entrega insumos OR]]&gt;1,"Evolti","Espera de insumos"),
"Evolti")))))</f>
        <v>Espera de insumos</v>
      </c>
      <c r="D308" s="46" t="s">
        <v>153</v>
      </c>
      <c r="G308" s="135" t="s">
        <v>227</v>
      </c>
      <c r="H308" s="46">
        <v>901432582</v>
      </c>
      <c r="I308" s="160" t="s">
        <v>529</v>
      </c>
      <c r="J308" s="48">
        <v>45799</v>
      </c>
      <c r="K308" s="49">
        <v>4291</v>
      </c>
      <c r="L308" s="50">
        <v>418801</v>
      </c>
      <c r="N308" s="75" t="s">
        <v>229</v>
      </c>
      <c r="R308" s="72"/>
      <c r="S308" s="48"/>
      <c r="U308" s="48"/>
      <c r="V308" s="48"/>
    </row>
    <row r="309" spans="1:23" hidden="1" x14ac:dyDescent="0.25">
      <c r="A309" s="152">
        <f t="shared" ref="A309:A315" si="17">+A308+1</f>
        <v>303</v>
      </c>
      <c r="B309" s="46" t="s">
        <v>674</v>
      </c>
      <c r="C309" s="46" t="s">
        <v>144</v>
      </c>
      <c r="D309" s="46" t="s">
        <v>151</v>
      </c>
      <c r="G309" s="135" t="s">
        <v>227</v>
      </c>
      <c r="H309" s="46">
        <v>901432582</v>
      </c>
      <c r="I309" s="159" t="s">
        <v>232</v>
      </c>
      <c r="J309" s="48">
        <v>45799</v>
      </c>
      <c r="K309" s="49"/>
      <c r="L309" s="50"/>
      <c r="M309" s="48"/>
      <c r="R309" s="72"/>
      <c r="S309" s="48"/>
      <c r="U309" s="48"/>
      <c r="V309" s="48"/>
    </row>
    <row r="310" spans="1:23" hidden="1" x14ac:dyDescent="0.25">
      <c r="A310" s="152">
        <f t="shared" si="17"/>
        <v>304</v>
      </c>
      <c r="B310" s="46" t="s">
        <v>675</v>
      </c>
      <c r="C310" s="46" t="s">
        <v>144</v>
      </c>
      <c r="D310" s="46" t="s">
        <v>153</v>
      </c>
      <c r="F310" s="152" t="s">
        <v>549</v>
      </c>
      <c r="G310" s="135" t="s">
        <v>227</v>
      </c>
      <c r="H310" s="46">
        <v>901432582</v>
      </c>
      <c r="I310" s="159" t="s">
        <v>232</v>
      </c>
      <c r="J310" s="48">
        <v>45799</v>
      </c>
      <c r="K310">
        <v>4294</v>
      </c>
      <c r="L310">
        <v>254140</v>
      </c>
      <c r="N310" s="75" t="s">
        <v>229</v>
      </c>
      <c r="O310" s="75"/>
      <c r="R310" s="72"/>
      <c r="S310" s="48"/>
      <c r="U310" s="48"/>
      <c r="V310" s="48"/>
    </row>
    <row r="311" spans="1:23" hidden="1" x14ac:dyDescent="0.25">
      <c r="A311" s="152">
        <f t="shared" si="17"/>
        <v>305</v>
      </c>
      <c r="B311" s="46" t="s">
        <v>676</v>
      </c>
      <c r="C311" s="46" t="s">
        <v>144</v>
      </c>
      <c r="D311" s="46" t="s">
        <v>153</v>
      </c>
      <c r="F311" s="152" t="s">
        <v>549</v>
      </c>
      <c r="G311" s="135" t="s">
        <v>227</v>
      </c>
      <c r="H311" s="46">
        <v>901432582</v>
      </c>
      <c r="I311" s="151" t="s">
        <v>267</v>
      </c>
      <c r="J311" s="48">
        <v>45799</v>
      </c>
      <c r="K311">
        <v>4292</v>
      </c>
      <c r="L311">
        <v>1286176</v>
      </c>
      <c r="N311" s="75" t="s">
        <v>229</v>
      </c>
      <c r="R311" s="72"/>
      <c r="S311" s="48"/>
      <c r="U311" s="48"/>
      <c r="V311" s="48"/>
    </row>
    <row r="312" spans="1:23" hidden="1" x14ac:dyDescent="0.25">
      <c r="A312" s="152">
        <f t="shared" si="17"/>
        <v>306</v>
      </c>
      <c r="B312" s="46" t="s">
        <v>677</v>
      </c>
      <c r="C312" s="46" t="s">
        <v>144</v>
      </c>
      <c r="D312" s="46" t="s">
        <v>153</v>
      </c>
      <c r="F312" s="152" t="s">
        <v>549</v>
      </c>
      <c r="G312" s="135" t="s">
        <v>227</v>
      </c>
      <c r="H312" s="46">
        <v>901432582</v>
      </c>
      <c r="I312" s="160" t="s">
        <v>662</v>
      </c>
      <c r="J312" s="48">
        <v>45799</v>
      </c>
      <c r="K312">
        <v>4293</v>
      </c>
      <c r="L312">
        <v>2428309</v>
      </c>
      <c r="N312" s="75" t="s">
        <v>229</v>
      </c>
      <c r="R312" s="72"/>
      <c r="S312" s="48"/>
      <c r="U312" s="48"/>
      <c r="V312" s="48"/>
    </row>
    <row r="313" spans="1:23" hidden="1" x14ac:dyDescent="0.25">
      <c r="A313" s="152">
        <f t="shared" si="17"/>
        <v>307</v>
      </c>
      <c r="B313" s="46" t="s">
        <v>678</v>
      </c>
      <c r="C313" s="46" t="s">
        <v>144</v>
      </c>
      <c r="D313" s="46" t="s">
        <v>151</v>
      </c>
      <c r="F313" s="152">
        <v>20106</v>
      </c>
      <c r="G313" s="135" t="s">
        <v>227</v>
      </c>
      <c r="H313" s="46">
        <v>901432582</v>
      </c>
      <c r="I313" s="160" t="s">
        <v>662</v>
      </c>
      <c r="J313" s="48">
        <v>45799</v>
      </c>
      <c r="K313" s="49"/>
      <c r="L313" s="50"/>
      <c r="M313" s="48">
        <v>45807</v>
      </c>
      <c r="N313" s="75" t="s">
        <v>542</v>
      </c>
      <c r="R313" s="72"/>
      <c r="S313" s="48"/>
      <c r="U313" s="48"/>
      <c r="V313" s="48"/>
    </row>
    <row r="314" spans="1:23" hidden="1" x14ac:dyDescent="0.25">
      <c r="A314" s="152">
        <f t="shared" si="17"/>
        <v>308</v>
      </c>
      <c r="B314" s="46" t="s">
        <v>679</v>
      </c>
      <c r="C314" s="46" t="s">
        <v>144</v>
      </c>
      <c r="D314" s="46" t="s">
        <v>151</v>
      </c>
      <c r="F314" s="152">
        <v>20106</v>
      </c>
      <c r="G314" s="135" t="s">
        <v>227</v>
      </c>
      <c r="H314" s="46">
        <v>901432582</v>
      </c>
      <c r="I314" s="160" t="s">
        <v>662</v>
      </c>
      <c r="J314" s="48">
        <v>45799</v>
      </c>
      <c r="K314" s="49"/>
      <c r="L314" s="50"/>
      <c r="M314" s="48">
        <v>45807</v>
      </c>
      <c r="N314" s="75" t="s">
        <v>542</v>
      </c>
      <c r="R314" s="72"/>
      <c r="S314" s="48"/>
      <c r="U314" s="48"/>
      <c r="V314" s="48"/>
    </row>
    <row r="315" spans="1:23" hidden="1" x14ac:dyDescent="0.25">
      <c r="A315" s="152">
        <f t="shared" si="17"/>
        <v>309</v>
      </c>
      <c r="B315" s="46" t="s">
        <v>680</v>
      </c>
      <c r="C315" s="46" t="s">
        <v>144</v>
      </c>
      <c r="D315" s="46" t="s">
        <v>151</v>
      </c>
      <c r="F315" s="152">
        <v>20106</v>
      </c>
      <c r="G315" s="135" t="s">
        <v>227</v>
      </c>
      <c r="H315" s="46">
        <v>901432582</v>
      </c>
      <c r="I315" s="160" t="s">
        <v>662</v>
      </c>
      <c r="J315" s="48">
        <v>45799</v>
      </c>
      <c r="K315" s="49"/>
      <c r="L315" s="50"/>
      <c r="M315" s="48">
        <v>45807</v>
      </c>
      <c r="N315" s="75" t="s">
        <v>542</v>
      </c>
      <c r="R315" s="72"/>
      <c r="S315" s="48"/>
      <c r="U315" s="48"/>
      <c r="V315" s="48"/>
    </row>
    <row r="316" spans="1:23" hidden="1" x14ac:dyDescent="0.25">
      <c r="A316" s="152">
        <f t="shared" ref="A316:A347" si="18">+A315+1</f>
        <v>310</v>
      </c>
      <c r="B316" s="46" t="s">
        <v>614</v>
      </c>
      <c r="C316" s="46" t="s">
        <v>149</v>
      </c>
      <c r="D316" s="46" t="s">
        <v>161</v>
      </c>
      <c r="E316" s="152" t="s">
        <v>681</v>
      </c>
      <c r="F316" s="152" t="s">
        <v>682</v>
      </c>
      <c r="G316" s="46" t="s">
        <v>227</v>
      </c>
      <c r="H316" s="46">
        <v>901432582</v>
      </c>
      <c r="I316" s="136" t="s">
        <v>232</v>
      </c>
      <c r="J316" s="48">
        <v>45792</v>
      </c>
      <c r="K316" s="49">
        <v>64282895</v>
      </c>
      <c r="L316" s="50" t="s">
        <v>683</v>
      </c>
      <c r="M316" s="48">
        <v>45800</v>
      </c>
      <c r="N316" s="75" t="s">
        <v>542</v>
      </c>
      <c r="R316" s="72"/>
      <c r="S316" s="48"/>
      <c r="T316" s="48" t="s">
        <v>145</v>
      </c>
      <c r="U316" s="48"/>
      <c r="V316" s="48"/>
      <c r="W316" s="48" t="s">
        <v>383</v>
      </c>
    </row>
    <row r="317" spans="1:23" hidden="1" x14ac:dyDescent="0.25">
      <c r="A317" s="152">
        <f t="shared" si="18"/>
        <v>311</v>
      </c>
      <c r="B317" s="46" t="s">
        <v>615</v>
      </c>
      <c r="C317" s="46" t="s">
        <v>149</v>
      </c>
      <c r="D317" s="46" t="s">
        <v>161</v>
      </c>
      <c r="E317" s="152" t="s">
        <v>681</v>
      </c>
      <c r="F317" s="152" t="s">
        <v>682</v>
      </c>
      <c r="G317" s="135" t="s">
        <v>227</v>
      </c>
      <c r="H317" s="46">
        <v>901432582</v>
      </c>
      <c r="I317" s="136" t="s">
        <v>232</v>
      </c>
      <c r="J317" s="48">
        <v>45792</v>
      </c>
      <c r="K317" s="49">
        <v>64282957</v>
      </c>
      <c r="L317" s="46">
        <v>1800739</v>
      </c>
      <c r="M317" s="48">
        <v>45800</v>
      </c>
      <c r="N317" s="75" t="s">
        <v>542</v>
      </c>
      <c r="R317" s="72"/>
      <c r="S317" s="48"/>
      <c r="U317" s="48"/>
      <c r="V317" s="48"/>
    </row>
    <row r="318" spans="1:23" hidden="1" x14ac:dyDescent="0.25">
      <c r="A318" s="152">
        <f t="shared" si="18"/>
        <v>312</v>
      </c>
      <c r="B318" s="46" t="s">
        <v>616</v>
      </c>
      <c r="C318" s="46" t="s">
        <v>149</v>
      </c>
      <c r="D318" s="46" t="s">
        <v>161</v>
      </c>
      <c r="E318" s="152" t="s">
        <v>681</v>
      </c>
      <c r="F318" s="152" t="s">
        <v>682</v>
      </c>
      <c r="G318" s="135" t="s">
        <v>227</v>
      </c>
      <c r="H318" s="46">
        <v>901432582</v>
      </c>
      <c r="I318" s="136" t="s">
        <v>232</v>
      </c>
      <c r="J318" s="48">
        <v>45792</v>
      </c>
      <c r="K318" s="49">
        <v>64282987</v>
      </c>
      <c r="L318" s="50" t="s">
        <v>684</v>
      </c>
      <c r="M318" s="48">
        <v>45800</v>
      </c>
      <c r="N318" s="75" t="s">
        <v>542</v>
      </c>
      <c r="R318" s="72"/>
      <c r="S318" s="48"/>
      <c r="U318" s="48"/>
      <c r="V318" s="48"/>
    </row>
    <row r="319" spans="1:23" hidden="1" x14ac:dyDescent="0.25">
      <c r="A319" s="152">
        <f t="shared" si="18"/>
        <v>313</v>
      </c>
      <c r="B319" s="46" t="s">
        <v>685</v>
      </c>
      <c r="C319" s="46" t="str">
        <f>+IF(EstadoSolicitudes[[#This Row],[Aprobado OR]]="Aprobado",EstadoSolicitudes[[#This Row],[Aprobado OR]],
IF(EstadoSolicitudes[[#This Row],[Aprobado OR]]="Cancelado",EstadoSolicitudes[[#This Row],[Aprobado OR]],
IF(EstadoSolicitudes[[#This Row],[Cargue estudio al OR]]&gt;1,"Verificación Técnica",
IF(EstadoSolicitudes[[#This Row],[Fecha solicitud estudio]]&gt;1,"Estudio de conexión",
IF(EstadoSolicitudes[[#This Row],[Insumos revisados]]="No",IF(EstadoSolicitudes[[#This Row],[Fecha entrega insumos OR]]&gt;1,"Evolti","Espera de insumos"),
"Evolti")))))</f>
        <v>Espera de insumos</v>
      </c>
      <c r="D319" s="46" t="s">
        <v>161</v>
      </c>
      <c r="E319" s="152" t="s">
        <v>478</v>
      </c>
      <c r="F319" s="152">
        <v>86505</v>
      </c>
      <c r="G319" s="135" t="s">
        <v>227</v>
      </c>
      <c r="H319" s="46">
        <v>901432582</v>
      </c>
      <c r="I319" s="136" t="s">
        <v>232</v>
      </c>
      <c r="J319" s="48">
        <v>45800</v>
      </c>
      <c r="K319" s="49">
        <v>64352233</v>
      </c>
      <c r="L319" s="50" t="s">
        <v>686</v>
      </c>
      <c r="N319" s="75" t="s">
        <v>229</v>
      </c>
      <c r="R319" s="72"/>
      <c r="S319" s="48"/>
      <c r="U319" s="48"/>
      <c r="V319" s="48"/>
    </row>
    <row r="320" spans="1:23" hidden="1" x14ac:dyDescent="0.25">
      <c r="A320" s="152">
        <f t="shared" si="18"/>
        <v>314</v>
      </c>
      <c r="B320" s="46" t="s">
        <v>687</v>
      </c>
      <c r="C320" s="46" t="str">
        <f>+IF(EstadoSolicitudes[[#This Row],[Aprobado OR]]="Aprobado",EstadoSolicitudes[[#This Row],[Aprobado OR]],
IF(EstadoSolicitudes[[#This Row],[Aprobado OR]]="Cancelado",EstadoSolicitudes[[#This Row],[Aprobado OR]],
IF(EstadoSolicitudes[[#This Row],[Cargue estudio al OR]]&gt;1,"Verificación Técnica",
IF(EstadoSolicitudes[[#This Row],[Fecha solicitud estudio]]&gt;1,"Estudio de conexión",
IF(EstadoSolicitudes[[#This Row],[Insumos revisados]]="No",IF(EstadoSolicitudes[[#This Row],[Fecha entrega insumos OR]]&gt;1,"Evolti","Espera de insumos"),
"Evolti")))))</f>
        <v>Espera de insumos</v>
      </c>
      <c r="D320" s="46" t="s">
        <v>161</v>
      </c>
      <c r="E320" s="152" t="s">
        <v>478</v>
      </c>
      <c r="F320" s="152">
        <v>86505</v>
      </c>
      <c r="G320" s="135" t="s">
        <v>227</v>
      </c>
      <c r="H320" s="46">
        <v>901432582</v>
      </c>
      <c r="I320" s="136" t="s">
        <v>232</v>
      </c>
      <c r="J320" s="48">
        <v>45800</v>
      </c>
      <c r="K320" s="49">
        <v>64352658</v>
      </c>
      <c r="L320" s="50" t="s">
        <v>688</v>
      </c>
      <c r="N320" s="75" t="s">
        <v>229</v>
      </c>
      <c r="R320" s="72"/>
      <c r="S320" s="48"/>
      <c r="U320" s="48"/>
      <c r="V320" s="48"/>
    </row>
    <row r="321" spans="1:22" hidden="1" x14ac:dyDescent="0.25">
      <c r="A321" s="152">
        <f t="shared" si="18"/>
        <v>315</v>
      </c>
      <c r="B321" s="46" t="s">
        <v>689</v>
      </c>
      <c r="C321" s="46" t="str">
        <f>+IF(EstadoSolicitudes[[#This Row],[Aprobado OR]]="Aprobado",EstadoSolicitudes[[#This Row],[Aprobado OR]],
IF(EstadoSolicitudes[[#This Row],[Aprobado OR]]="Cancelado",EstadoSolicitudes[[#This Row],[Aprobado OR]],
IF(EstadoSolicitudes[[#This Row],[Cargue estudio al OR]]&gt;1,"Verificación Técnica",
IF(EstadoSolicitudes[[#This Row],[Fecha solicitud estudio]]&gt;1,"Estudio de conexión",
IF(EstadoSolicitudes[[#This Row],[Insumos revisados]]="No",IF(EstadoSolicitudes[[#This Row],[Fecha entrega insumos OR]]&gt;1,"Evolti","Espera de insumos"),
"Evolti")))))</f>
        <v>Espera de insumos</v>
      </c>
      <c r="D321" s="46" t="s">
        <v>161</v>
      </c>
      <c r="E321" s="152" t="s">
        <v>478</v>
      </c>
      <c r="F321" s="152">
        <v>86505</v>
      </c>
      <c r="G321" s="135" t="s">
        <v>227</v>
      </c>
      <c r="H321" s="46">
        <v>901432582</v>
      </c>
      <c r="I321" s="136" t="s">
        <v>232</v>
      </c>
      <c r="J321" s="48">
        <v>45800</v>
      </c>
      <c r="K321" s="49">
        <v>64352800</v>
      </c>
      <c r="L321" s="50"/>
      <c r="N321" s="75" t="s">
        <v>229</v>
      </c>
      <c r="R321" s="72"/>
      <c r="S321" s="48"/>
      <c r="U321" s="48"/>
      <c r="V321" s="48"/>
    </row>
    <row r="322" spans="1:22" hidden="1" x14ac:dyDescent="0.25">
      <c r="A322" s="152">
        <f t="shared" si="18"/>
        <v>316</v>
      </c>
      <c r="B322" s="46" t="s">
        <v>690</v>
      </c>
      <c r="C322" s="46" t="str">
        <f>+IF(EstadoSolicitudes[[#This Row],[Aprobado OR]]="Aprobado",EstadoSolicitudes[[#This Row],[Aprobado OR]],
IF(EstadoSolicitudes[[#This Row],[Aprobado OR]]="Cancelado",EstadoSolicitudes[[#This Row],[Aprobado OR]],
IF(EstadoSolicitudes[[#This Row],[Cargue estudio al OR]]&gt;1,"Verificación Técnica",
IF(EstadoSolicitudes[[#This Row],[Fecha solicitud estudio]]&gt;1,"Estudio de conexión",
IF(EstadoSolicitudes[[#This Row],[Insumos revisados]]="No",IF(EstadoSolicitudes[[#This Row],[Fecha entrega insumos OR]]&gt;1,"Evolti","Espera de insumos"),
"Evolti")))))</f>
        <v>Espera de insumos</v>
      </c>
      <c r="D322" s="46" t="s">
        <v>161</v>
      </c>
      <c r="E322" s="152" t="s">
        <v>691</v>
      </c>
      <c r="F322" s="152">
        <v>79508</v>
      </c>
      <c r="G322" s="135" t="s">
        <v>227</v>
      </c>
      <c r="H322" s="46">
        <v>901432582</v>
      </c>
      <c r="I322" s="136" t="s">
        <v>232</v>
      </c>
      <c r="J322" s="48">
        <v>45800</v>
      </c>
      <c r="K322" s="49">
        <v>64349729</v>
      </c>
      <c r="L322" s="50"/>
      <c r="N322" s="75" t="s">
        <v>229</v>
      </c>
      <c r="R322" s="72"/>
      <c r="S322" s="48"/>
      <c r="U322" s="48"/>
      <c r="V322" s="48"/>
    </row>
    <row r="323" spans="1:22" hidden="1" x14ac:dyDescent="0.25">
      <c r="A323" s="152">
        <f t="shared" si="18"/>
        <v>317</v>
      </c>
      <c r="B323" s="46" t="s">
        <v>692</v>
      </c>
      <c r="C323" s="46" t="str">
        <f>+IF(EstadoSolicitudes[[#This Row],[Aprobado OR]]="Aprobado",EstadoSolicitudes[[#This Row],[Aprobado OR]],
IF(EstadoSolicitudes[[#This Row],[Aprobado OR]]="Cancelado",EstadoSolicitudes[[#This Row],[Aprobado OR]],
IF(EstadoSolicitudes[[#This Row],[Cargue estudio al OR]]&gt;1,"Verificación Técnica",
IF(EstadoSolicitudes[[#This Row],[Fecha solicitud estudio]]&gt;1,"Estudio de conexión",
IF(EstadoSolicitudes[[#This Row],[Insumos revisados]]="No",IF(EstadoSolicitudes[[#This Row],[Fecha entrega insumos OR]]&gt;1,"Evolti","Espera de insumos"),
"Evolti")))))</f>
        <v>Espera de insumos</v>
      </c>
      <c r="D323" s="46" t="s">
        <v>161</v>
      </c>
      <c r="E323" s="152" t="s">
        <v>691</v>
      </c>
      <c r="F323" s="152">
        <v>79508</v>
      </c>
      <c r="G323" s="135" t="s">
        <v>227</v>
      </c>
      <c r="H323" s="46">
        <v>901432582</v>
      </c>
      <c r="I323" s="136" t="s">
        <v>232</v>
      </c>
      <c r="J323" s="48">
        <v>45800</v>
      </c>
      <c r="K323" s="49">
        <v>64349921</v>
      </c>
      <c r="L323" s="50"/>
      <c r="N323" s="75" t="s">
        <v>229</v>
      </c>
      <c r="R323" s="72"/>
      <c r="S323" s="48"/>
      <c r="U323" s="48"/>
      <c r="V323" s="48"/>
    </row>
    <row r="324" spans="1:22" hidden="1" x14ac:dyDescent="0.25">
      <c r="A324" s="152">
        <f t="shared" si="18"/>
        <v>318</v>
      </c>
      <c r="B324" s="46" t="s">
        <v>693</v>
      </c>
      <c r="C324" s="46" t="str">
        <f>+IF(EstadoSolicitudes[[#This Row],[Aprobado OR]]="Aprobado",EstadoSolicitudes[[#This Row],[Aprobado OR]],
IF(EstadoSolicitudes[[#This Row],[Aprobado OR]]="Cancelado",EstadoSolicitudes[[#This Row],[Aprobado OR]],
IF(EstadoSolicitudes[[#This Row],[Cargue estudio al OR]]&gt;1,"Verificación Técnica",
IF(EstadoSolicitudes[[#This Row],[Fecha solicitud estudio]]&gt;1,"Estudio de conexión",
IF(EstadoSolicitudes[[#This Row],[Insumos revisados]]="No",IF(EstadoSolicitudes[[#This Row],[Fecha entrega insumos OR]]&gt;1,"Evolti","Espera de insumos"),
"Evolti")))))</f>
        <v>Espera de insumos</v>
      </c>
      <c r="D324" s="46" t="s">
        <v>161</v>
      </c>
      <c r="E324" s="152" t="s">
        <v>691</v>
      </c>
      <c r="F324" s="152">
        <v>79508</v>
      </c>
      <c r="G324" s="135" t="s">
        <v>227</v>
      </c>
      <c r="H324" s="46">
        <v>901432582</v>
      </c>
      <c r="I324" s="136" t="s">
        <v>232</v>
      </c>
      <c r="J324" s="48">
        <v>45800</v>
      </c>
      <c r="K324" s="49">
        <v>64350025</v>
      </c>
      <c r="L324" s="50"/>
      <c r="N324" s="75" t="s">
        <v>229</v>
      </c>
      <c r="R324" s="72"/>
      <c r="S324" s="48"/>
      <c r="U324" s="48"/>
      <c r="V324" s="48"/>
    </row>
    <row r="325" spans="1:22" hidden="1" x14ac:dyDescent="0.25">
      <c r="A325" s="152">
        <f t="shared" si="18"/>
        <v>319</v>
      </c>
      <c r="B325" s="46" t="s">
        <v>694</v>
      </c>
      <c r="C325" s="46" t="s">
        <v>144</v>
      </c>
      <c r="D325" s="46" t="s">
        <v>161</v>
      </c>
      <c r="E325" s="152" t="s">
        <v>478</v>
      </c>
      <c r="F325" s="152">
        <v>86501</v>
      </c>
      <c r="G325" s="135" t="s">
        <v>227</v>
      </c>
      <c r="H325" s="46">
        <v>901432582</v>
      </c>
      <c r="I325" s="136" t="s">
        <v>232</v>
      </c>
      <c r="J325" s="48">
        <v>45800</v>
      </c>
      <c r="K325" s="49">
        <v>64350703</v>
      </c>
      <c r="L325" s="50"/>
      <c r="M325" s="48">
        <v>45814</v>
      </c>
      <c r="N325" s="75" t="s">
        <v>542</v>
      </c>
      <c r="R325" s="72"/>
      <c r="S325" s="48"/>
      <c r="U325" s="48"/>
      <c r="V325" s="48"/>
    </row>
    <row r="326" spans="1:22" hidden="1" x14ac:dyDescent="0.25">
      <c r="A326" s="152">
        <f t="shared" si="18"/>
        <v>320</v>
      </c>
      <c r="B326" s="46" t="s">
        <v>695</v>
      </c>
      <c r="C326" s="46" t="s">
        <v>144</v>
      </c>
      <c r="D326" s="46" t="s">
        <v>161</v>
      </c>
      <c r="E326" s="152" t="s">
        <v>478</v>
      </c>
      <c r="F326" s="152">
        <v>86501</v>
      </c>
      <c r="G326" s="135" t="s">
        <v>227</v>
      </c>
      <c r="H326" s="46">
        <v>901432582</v>
      </c>
      <c r="I326" s="136" t="s">
        <v>232</v>
      </c>
      <c r="J326" s="48">
        <v>45800</v>
      </c>
      <c r="K326" s="49">
        <v>64352603</v>
      </c>
      <c r="L326" s="50"/>
      <c r="M326" s="48">
        <v>45814</v>
      </c>
      <c r="N326" s="75" t="s">
        <v>542</v>
      </c>
      <c r="R326" s="72"/>
      <c r="S326" s="48"/>
      <c r="U326" s="48"/>
      <c r="V326" s="48"/>
    </row>
    <row r="327" spans="1:22" hidden="1" x14ac:dyDescent="0.25">
      <c r="A327" s="152">
        <f t="shared" si="18"/>
        <v>321</v>
      </c>
      <c r="B327" s="46" t="s">
        <v>696</v>
      </c>
      <c r="C327" s="46" t="s">
        <v>144</v>
      </c>
      <c r="D327" s="46" t="s">
        <v>161</v>
      </c>
      <c r="E327" s="152" t="s">
        <v>478</v>
      </c>
      <c r="F327" s="152">
        <v>86501</v>
      </c>
      <c r="G327" s="135" t="s">
        <v>227</v>
      </c>
      <c r="H327" s="46">
        <v>901432582</v>
      </c>
      <c r="I327" s="136" t="s">
        <v>232</v>
      </c>
      <c r="J327" s="48">
        <v>45800</v>
      </c>
      <c r="K327" s="49">
        <v>64352918</v>
      </c>
      <c r="L327" s="50"/>
      <c r="M327" s="48">
        <v>45814</v>
      </c>
      <c r="N327" s="75" t="s">
        <v>542</v>
      </c>
      <c r="R327" s="72"/>
      <c r="S327" s="48"/>
      <c r="U327" s="48"/>
      <c r="V327" s="48"/>
    </row>
    <row r="328" spans="1:22" hidden="1" x14ac:dyDescent="0.25">
      <c r="A328" s="152">
        <f t="shared" si="18"/>
        <v>322</v>
      </c>
      <c r="B328" s="46" t="s">
        <v>697</v>
      </c>
      <c r="C328" s="46" t="s">
        <v>144</v>
      </c>
      <c r="D328" s="46" t="s">
        <v>161</v>
      </c>
      <c r="E328" s="152" t="s">
        <v>478</v>
      </c>
      <c r="F328" s="152">
        <v>86504</v>
      </c>
      <c r="G328" s="135" t="s">
        <v>227</v>
      </c>
      <c r="H328" s="46">
        <v>901432582</v>
      </c>
      <c r="I328" s="136" t="s">
        <v>232</v>
      </c>
      <c r="J328" s="48">
        <v>45800</v>
      </c>
      <c r="K328" s="49">
        <v>64353502</v>
      </c>
      <c r="L328" s="50"/>
      <c r="M328" s="48">
        <v>45812</v>
      </c>
      <c r="N328" s="75" t="s">
        <v>542</v>
      </c>
      <c r="R328" s="72"/>
      <c r="S328" s="48"/>
      <c r="U328" s="48"/>
      <c r="V328" s="48"/>
    </row>
    <row r="329" spans="1:22" hidden="1" x14ac:dyDescent="0.25">
      <c r="A329" s="152">
        <f t="shared" si="18"/>
        <v>323</v>
      </c>
      <c r="B329" s="46" t="s">
        <v>698</v>
      </c>
      <c r="C329" s="46" t="s">
        <v>144</v>
      </c>
      <c r="D329" s="46" t="s">
        <v>161</v>
      </c>
      <c r="E329" s="152" t="s">
        <v>478</v>
      </c>
      <c r="F329" s="152">
        <v>86504</v>
      </c>
      <c r="G329" s="135" t="s">
        <v>227</v>
      </c>
      <c r="H329" s="46">
        <v>901432582</v>
      </c>
      <c r="I329" s="136" t="s">
        <v>232</v>
      </c>
      <c r="J329" s="48">
        <v>45800</v>
      </c>
      <c r="K329" s="49">
        <v>64353555</v>
      </c>
      <c r="L329" s="50"/>
      <c r="M329" s="48">
        <v>45812</v>
      </c>
      <c r="N329" s="75" t="s">
        <v>542</v>
      </c>
      <c r="R329" s="72"/>
      <c r="S329" s="48"/>
      <c r="U329" s="48"/>
      <c r="V329" s="48"/>
    </row>
    <row r="330" spans="1:22" hidden="1" x14ac:dyDescent="0.25">
      <c r="A330" s="152">
        <f t="shared" si="18"/>
        <v>324</v>
      </c>
      <c r="B330" s="46" t="s">
        <v>699</v>
      </c>
      <c r="C330" s="46" t="s">
        <v>144</v>
      </c>
      <c r="D330" s="46" t="s">
        <v>161</v>
      </c>
      <c r="E330" s="152" t="s">
        <v>478</v>
      </c>
      <c r="F330" s="152">
        <v>86504</v>
      </c>
      <c r="G330" s="135" t="s">
        <v>227</v>
      </c>
      <c r="H330" s="46">
        <v>901432582</v>
      </c>
      <c r="I330" s="136" t="s">
        <v>232</v>
      </c>
      <c r="J330" s="48">
        <v>45800</v>
      </c>
      <c r="K330" s="49">
        <v>64353590</v>
      </c>
      <c r="L330" s="50"/>
      <c r="M330" s="48">
        <v>45812</v>
      </c>
      <c r="N330" s="75" t="s">
        <v>542</v>
      </c>
      <c r="R330" s="72"/>
      <c r="S330" s="48"/>
      <c r="U330" s="48"/>
      <c r="V330" s="48"/>
    </row>
    <row r="331" spans="1:22" hidden="1" x14ac:dyDescent="0.25">
      <c r="A331" s="152">
        <f t="shared" si="18"/>
        <v>325</v>
      </c>
      <c r="B331" s="46" t="s">
        <v>700</v>
      </c>
      <c r="C331" s="46" t="s">
        <v>144</v>
      </c>
      <c r="D331" s="46" t="s">
        <v>155</v>
      </c>
      <c r="G331" s="135" t="s">
        <v>227</v>
      </c>
      <c r="H331" s="46">
        <v>901432582</v>
      </c>
      <c r="I331" s="136" t="s">
        <v>232</v>
      </c>
      <c r="J331" s="48">
        <v>45800</v>
      </c>
      <c r="K331" s="49">
        <v>38423</v>
      </c>
      <c r="L331" s="50"/>
      <c r="N331" s="75" t="s">
        <v>229</v>
      </c>
      <c r="R331" s="72"/>
      <c r="S331" s="48"/>
      <c r="U331" s="48"/>
      <c r="V331" s="48"/>
    </row>
    <row r="332" spans="1:22" hidden="1" x14ac:dyDescent="0.25">
      <c r="A332" s="152">
        <f t="shared" si="18"/>
        <v>326</v>
      </c>
      <c r="B332" s="46" t="s">
        <v>700</v>
      </c>
      <c r="C332" s="46" t="s">
        <v>144</v>
      </c>
      <c r="D332" s="46" t="s">
        <v>155</v>
      </c>
      <c r="G332" s="135" t="s">
        <v>227</v>
      </c>
      <c r="H332" s="46">
        <v>901432582</v>
      </c>
      <c r="I332" s="136" t="s">
        <v>232</v>
      </c>
      <c r="J332" s="48">
        <v>45800</v>
      </c>
      <c r="K332" s="49">
        <v>38434</v>
      </c>
      <c r="L332" s="50"/>
      <c r="N332" s="75" t="s">
        <v>229</v>
      </c>
      <c r="R332" s="72"/>
      <c r="S332" s="48"/>
      <c r="U332" s="48"/>
      <c r="V332" s="48"/>
    </row>
    <row r="333" spans="1:22" hidden="1" x14ac:dyDescent="0.25">
      <c r="A333" s="152">
        <f t="shared" si="18"/>
        <v>327</v>
      </c>
      <c r="B333" s="46" t="s">
        <v>700</v>
      </c>
      <c r="C333" s="46" t="s">
        <v>144</v>
      </c>
      <c r="D333" s="46" t="s">
        <v>155</v>
      </c>
      <c r="G333" s="135" t="s">
        <v>227</v>
      </c>
      <c r="H333" s="46">
        <v>901432582</v>
      </c>
      <c r="I333" s="136" t="s">
        <v>232</v>
      </c>
      <c r="J333" s="48">
        <v>45800</v>
      </c>
      <c r="K333" s="49">
        <v>38435</v>
      </c>
      <c r="L333" s="50"/>
      <c r="N333" s="75" t="s">
        <v>229</v>
      </c>
      <c r="R333" s="72"/>
      <c r="S333" s="48"/>
      <c r="U333" s="48"/>
      <c r="V333" s="48"/>
    </row>
    <row r="334" spans="1:22" hidden="1" x14ac:dyDescent="0.25">
      <c r="A334" s="152">
        <f t="shared" si="18"/>
        <v>328</v>
      </c>
      <c r="B334" s="46" t="s">
        <v>701</v>
      </c>
      <c r="C334" s="46" t="s">
        <v>144</v>
      </c>
      <c r="D334" s="46" t="s">
        <v>702</v>
      </c>
      <c r="F334" s="152">
        <v>79511</v>
      </c>
      <c r="G334" s="135" t="s">
        <v>227</v>
      </c>
      <c r="H334" s="46">
        <v>901432582</v>
      </c>
      <c r="I334" s="159" t="s">
        <v>232</v>
      </c>
      <c r="J334" s="48">
        <v>45797</v>
      </c>
      <c r="K334">
        <v>4743</v>
      </c>
      <c r="L334">
        <v>2474314</v>
      </c>
      <c r="N334" s="75" t="s">
        <v>229</v>
      </c>
      <c r="R334" s="72"/>
      <c r="S334" s="48"/>
      <c r="U334" s="48"/>
      <c r="V334" s="48"/>
    </row>
    <row r="335" spans="1:22" hidden="1" x14ac:dyDescent="0.25">
      <c r="A335" s="152">
        <f t="shared" si="18"/>
        <v>329</v>
      </c>
      <c r="B335" s="46" t="s">
        <v>703</v>
      </c>
      <c r="C335" s="46" t="s">
        <v>144</v>
      </c>
      <c r="D335" s="46" t="s">
        <v>702</v>
      </c>
      <c r="F335" s="152">
        <v>79511</v>
      </c>
      <c r="G335" s="135" t="s">
        <v>227</v>
      </c>
      <c r="H335" s="46">
        <v>901432582</v>
      </c>
      <c r="I335" s="159" t="s">
        <v>267</v>
      </c>
      <c r="J335" s="48">
        <v>45797</v>
      </c>
      <c r="K335">
        <v>4744</v>
      </c>
      <c r="L335">
        <v>1474413</v>
      </c>
      <c r="N335" s="75" t="s">
        <v>229</v>
      </c>
      <c r="R335" s="72"/>
      <c r="S335" s="48"/>
      <c r="U335" s="48"/>
      <c r="V335" s="48"/>
    </row>
    <row r="336" spans="1:22" hidden="1" x14ac:dyDescent="0.25">
      <c r="A336" s="152">
        <f t="shared" si="18"/>
        <v>330</v>
      </c>
      <c r="B336" s="46" t="s">
        <v>704</v>
      </c>
      <c r="C336" s="46" t="s">
        <v>144</v>
      </c>
      <c r="D336" s="46" t="s">
        <v>702</v>
      </c>
      <c r="F336" s="152">
        <v>79511</v>
      </c>
      <c r="G336" s="135" t="s">
        <v>227</v>
      </c>
      <c r="H336" s="46">
        <v>901432582</v>
      </c>
      <c r="I336" s="159" t="s">
        <v>662</v>
      </c>
      <c r="J336" s="48">
        <v>45797</v>
      </c>
      <c r="K336">
        <v>4745</v>
      </c>
      <c r="L336">
        <v>2474579</v>
      </c>
      <c r="N336" s="75" t="s">
        <v>229</v>
      </c>
      <c r="R336" s="72"/>
      <c r="S336" s="48"/>
      <c r="U336" s="48"/>
      <c r="V336" s="48"/>
    </row>
    <row r="337" spans="1:22" hidden="1" x14ac:dyDescent="0.25">
      <c r="A337" s="152">
        <f t="shared" si="18"/>
        <v>331</v>
      </c>
      <c r="B337" s="46" t="s">
        <v>705</v>
      </c>
      <c r="C337" s="46" t="s">
        <v>144</v>
      </c>
      <c r="D337" s="46" t="s">
        <v>161</v>
      </c>
      <c r="E337" s="152" t="s">
        <v>691</v>
      </c>
      <c r="F337" s="152">
        <v>79508</v>
      </c>
      <c r="G337" s="135" t="s">
        <v>227</v>
      </c>
      <c r="H337" s="46">
        <v>901432582</v>
      </c>
      <c r="I337" s="136" t="s">
        <v>232</v>
      </c>
      <c r="J337" s="48">
        <v>45804</v>
      </c>
      <c r="K337" s="49">
        <v>64437797</v>
      </c>
      <c r="L337" s="50" t="s">
        <v>706</v>
      </c>
      <c r="M337" s="48">
        <v>45811</v>
      </c>
      <c r="N337" s="75" t="s">
        <v>542</v>
      </c>
      <c r="R337" s="72"/>
      <c r="S337" s="48"/>
      <c r="U337" s="48"/>
      <c r="V337" s="48"/>
    </row>
    <row r="338" spans="1:22" hidden="1" x14ac:dyDescent="0.25">
      <c r="A338" s="152">
        <f>+A337+1</f>
        <v>332</v>
      </c>
      <c r="B338" s="46" t="s">
        <v>707</v>
      </c>
      <c r="C338" s="46" t="s">
        <v>144</v>
      </c>
      <c r="D338" s="46" t="s">
        <v>161</v>
      </c>
      <c r="E338" s="152" t="s">
        <v>691</v>
      </c>
      <c r="F338" s="152">
        <v>79508</v>
      </c>
      <c r="G338" s="135" t="s">
        <v>227</v>
      </c>
      <c r="H338" s="46">
        <v>901432582</v>
      </c>
      <c r="I338" s="136" t="s">
        <v>232</v>
      </c>
      <c r="J338" s="48">
        <v>45804</v>
      </c>
      <c r="K338" s="49">
        <v>64403326</v>
      </c>
      <c r="L338" s="50" t="s">
        <v>708</v>
      </c>
      <c r="M338" s="48">
        <v>45811</v>
      </c>
      <c r="N338" s="75" t="s">
        <v>542</v>
      </c>
      <c r="R338" s="72"/>
      <c r="S338" s="48"/>
      <c r="U338" s="48"/>
      <c r="V338" s="48"/>
    </row>
    <row r="339" spans="1:22" hidden="1" x14ac:dyDescent="0.25">
      <c r="A339" s="152">
        <f>+A338+1</f>
        <v>333</v>
      </c>
      <c r="B339" s="46" t="s">
        <v>709</v>
      </c>
      <c r="C339" s="46" t="s">
        <v>144</v>
      </c>
      <c r="D339" s="46" t="s">
        <v>161</v>
      </c>
      <c r="E339" s="152" t="s">
        <v>691</v>
      </c>
      <c r="F339" s="152">
        <v>79508</v>
      </c>
      <c r="G339" s="135" t="s">
        <v>227</v>
      </c>
      <c r="H339" s="46">
        <v>901432582</v>
      </c>
      <c r="I339" s="136" t="s">
        <v>232</v>
      </c>
      <c r="J339" s="48">
        <v>45804</v>
      </c>
      <c r="K339" s="49">
        <v>64403554</v>
      </c>
      <c r="L339" s="50" t="s">
        <v>710</v>
      </c>
      <c r="M339" s="48">
        <v>45811</v>
      </c>
      <c r="N339" s="75" t="s">
        <v>542</v>
      </c>
      <c r="R339" s="72"/>
      <c r="S339" s="48"/>
      <c r="U339" s="48"/>
      <c r="V339" s="48"/>
    </row>
    <row r="340" spans="1:22" hidden="1" x14ac:dyDescent="0.25">
      <c r="A340" s="152">
        <f t="shared" si="18"/>
        <v>334</v>
      </c>
      <c r="B340" s="156" t="s">
        <v>711</v>
      </c>
      <c r="C340" s="46" t="s">
        <v>144</v>
      </c>
      <c r="D340" s="46" t="s">
        <v>151</v>
      </c>
      <c r="E340" s="152" t="s">
        <v>712</v>
      </c>
      <c r="F340" s="152" t="s">
        <v>713</v>
      </c>
      <c r="G340" s="135" t="s">
        <v>227</v>
      </c>
      <c r="H340" s="46">
        <v>901432582</v>
      </c>
      <c r="I340" s="160" t="s">
        <v>529</v>
      </c>
      <c r="J340" s="48">
        <v>45805</v>
      </c>
      <c r="K340" s="49"/>
      <c r="L340" s="50"/>
      <c r="N340" s="75" t="s">
        <v>542</v>
      </c>
      <c r="R340" s="72"/>
      <c r="S340" s="48"/>
      <c r="U340" s="48"/>
      <c r="V340" s="48"/>
    </row>
    <row r="341" spans="1:22" hidden="1" x14ac:dyDescent="0.25">
      <c r="A341" s="152">
        <f t="shared" si="18"/>
        <v>335</v>
      </c>
      <c r="B341" s="156" t="s">
        <v>714</v>
      </c>
      <c r="C341" s="46" t="s">
        <v>144</v>
      </c>
      <c r="D341" s="46" t="s">
        <v>151</v>
      </c>
      <c r="E341" s="152" t="s">
        <v>712</v>
      </c>
      <c r="F341" s="152" t="s">
        <v>713</v>
      </c>
      <c r="G341" s="135" t="s">
        <v>227</v>
      </c>
      <c r="H341" s="46">
        <v>901432582</v>
      </c>
      <c r="I341" s="160" t="s">
        <v>529</v>
      </c>
      <c r="J341" s="48">
        <v>45805</v>
      </c>
      <c r="K341" s="49"/>
      <c r="L341" s="50"/>
      <c r="N341" s="75" t="s">
        <v>542</v>
      </c>
      <c r="R341" s="72"/>
      <c r="S341" s="48"/>
      <c r="U341" s="48"/>
      <c r="V341" s="48"/>
    </row>
    <row r="342" spans="1:22" hidden="1" x14ac:dyDescent="0.25">
      <c r="A342" s="152">
        <f t="shared" si="18"/>
        <v>336</v>
      </c>
      <c r="B342" s="156" t="s">
        <v>715</v>
      </c>
      <c r="C342" s="46" t="s">
        <v>144</v>
      </c>
      <c r="D342" s="46" t="s">
        <v>151</v>
      </c>
      <c r="E342" s="152" t="s">
        <v>712</v>
      </c>
      <c r="F342" s="152" t="s">
        <v>713</v>
      </c>
      <c r="G342" s="135" t="s">
        <v>227</v>
      </c>
      <c r="H342" s="46">
        <v>901432582</v>
      </c>
      <c r="I342" s="160" t="s">
        <v>529</v>
      </c>
      <c r="J342" s="48">
        <v>45805</v>
      </c>
      <c r="K342" s="49"/>
      <c r="L342" s="50"/>
      <c r="N342" s="75" t="s">
        <v>542</v>
      </c>
      <c r="R342" s="72"/>
      <c r="S342" s="48"/>
      <c r="U342" s="48"/>
      <c r="V342" s="48"/>
    </row>
    <row r="343" spans="1:22" hidden="1" x14ac:dyDescent="0.25">
      <c r="A343" s="152">
        <f t="shared" si="18"/>
        <v>337</v>
      </c>
      <c r="B343" s="46" t="s">
        <v>716</v>
      </c>
      <c r="C343" s="46" t="str">
        <f>+IF(EstadoSolicitudes[[#This Row],[Aprobado OR]]="Aprobado",EstadoSolicitudes[[#This Row],[Aprobado OR]],
IF(EstadoSolicitudes[[#This Row],[Aprobado OR]]="Cancelado",EstadoSolicitudes[[#This Row],[Aprobado OR]],
IF(EstadoSolicitudes[[#This Row],[Cargue estudio al OR]]&gt;1,"Verificación Técnica",
IF(EstadoSolicitudes[[#This Row],[Fecha solicitud estudio]]&gt;1,"Estudio de conexión",
IF(EstadoSolicitudes[[#This Row],[Insumos revisados]]="No",IF(EstadoSolicitudes[[#This Row],[Fecha entrega insumos OR]]&gt;1,"Evolti","Espera de insumos"),
"Evolti")))))</f>
        <v>Evolti</v>
      </c>
      <c r="D343" s="46" t="s">
        <v>161</v>
      </c>
      <c r="E343" s="152" t="s">
        <v>478</v>
      </c>
      <c r="F343" s="152">
        <v>86501</v>
      </c>
      <c r="G343" s="135" t="s">
        <v>227</v>
      </c>
      <c r="H343" s="46">
        <v>901432582</v>
      </c>
      <c r="I343" s="136" t="s">
        <v>232</v>
      </c>
      <c r="J343" s="48">
        <v>45805</v>
      </c>
      <c r="K343" s="49">
        <v>64427751</v>
      </c>
      <c r="L343" s="49" t="s">
        <v>717</v>
      </c>
      <c r="M343" s="48">
        <v>45814</v>
      </c>
      <c r="N343" s="75" t="s">
        <v>542</v>
      </c>
      <c r="R343" s="72"/>
      <c r="S343" s="48"/>
      <c r="U343" s="48"/>
      <c r="V343" s="48"/>
    </row>
    <row r="344" spans="1:22" hidden="1" x14ac:dyDescent="0.25">
      <c r="A344" s="152">
        <f t="shared" si="18"/>
        <v>338</v>
      </c>
      <c r="B344" s="46" t="s">
        <v>718</v>
      </c>
      <c r="C344" s="46" t="str">
        <f>+IF(EstadoSolicitudes[[#This Row],[Aprobado OR]]="Aprobado",EstadoSolicitudes[[#This Row],[Aprobado OR]],
IF(EstadoSolicitudes[[#This Row],[Aprobado OR]]="Cancelado",EstadoSolicitudes[[#This Row],[Aprobado OR]],
IF(EstadoSolicitudes[[#This Row],[Cargue estudio al OR]]&gt;1,"Verificación Técnica",
IF(EstadoSolicitudes[[#This Row],[Fecha solicitud estudio]]&gt;1,"Estudio de conexión",
IF(EstadoSolicitudes[[#This Row],[Insumos revisados]]="No",IF(EstadoSolicitudes[[#This Row],[Fecha entrega insumos OR]]&gt;1,"Evolti","Espera de insumos"),
"Evolti")))))</f>
        <v>Evolti</v>
      </c>
      <c r="D344" s="46" t="s">
        <v>161</v>
      </c>
      <c r="E344" s="152" t="s">
        <v>478</v>
      </c>
      <c r="F344" s="152">
        <v>86501</v>
      </c>
      <c r="G344" s="135" t="s">
        <v>227</v>
      </c>
      <c r="H344" s="46">
        <v>901432582</v>
      </c>
      <c r="I344" s="136" t="s">
        <v>232</v>
      </c>
      <c r="J344" s="48">
        <v>45805</v>
      </c>
      <c r="K344" s="49">
        <v>64428076</v>
      </c>
      <c r="L344" s="49" t="s">
        <v>719</v>
      </c>
      <c r="M344" s="48">
        <v>45814</v>
      </c>
      <c r="N344" s="75" t="s">
        <v>542</v>
      </c>
      <c r="R344" s="72"/>
      <c r="S344" s="48"/>
      <c r="U344" s="48"/>
      <c r="V344" s="48"/>
    </row>
    <row r="345" spans="1:22" hidden="1" x14ac:dyDescent="0.25">
      <c r="A345" s="152">
        <f t="shared" si="18"/>
        <v>339</v>
      </c>
      <c r="B345" s="46" t="s">
        <v>720</v>
      </c>
      <c r="C345" s="46" t="str">
        <f>+IF(EstadoSolicitudes[[#This Row],[Aprobado OR]]="Aprobado",EstadoSolicitudes[[#This Row],[Aprobado OR]],
IF(EstadoSolicitudes[[#This Row],[Aprobado OR]]="Cancelado",EstadoSolicitudes[[#This Row],[Aprobado OR]],
IF(EstadoSolicitudes[[#This Row],[Cargue estudio al OR]]&gt;1,"Verificación Técnica",
IF(EstadoSolicitudes[[#This Row],[Fecha solicitud estudio]]&gt;1,"Estudio de conexión",
IF(EstadoSolicitudes[[#This Row],[Insumos revisados]]="No",IF(EstadoSolicitudes[[#This Row],[Fecha entrega insumos OR]]&gt;1,"Evolti","Espera de insumos"),
"Evolti")))))</f>
        <v>Evolti</v>
      </c>
      <c r="D345" s="46" t="s">
        <v>161</v>
      </c>
      <c r="E345" s="152" t="s">
        <v>478</v>
      </c>
      <c r="F345" s="152">
        <v>86501</v>
      </c>
      <c r="G345" s="135" t="s">
        <v>227</v>
      </c>
      <c r="H345" s="46">
        <v>901432582</v>
      </c>
      <c r="I345" s="136" t="s">
        <v>232</v>
      </c>
      <c r="J345" s="48">
        <v>45805</v>
      </c>
      <c r="K345" s="49">
        <v>64428791</v>
      </c>
      <c r="L345" s="49" t="s">
        <v>721</v>
      </c>
      <c r="M345" s="48">
        <v>45814</v>
      </c>
      <c r="N345" s="75" t="s">
        <v>542</v>
      </c>
      <c r="R345" s="72"/>
      <c r="S345" s="48"/>
      <c r="U345" s="48"/>
      <c r="V345" s="48"/>
    </row>
    <row r="346" spans="1:22" hidden="1" x14ac:dyDescent="0.25">
      <c r="A346" s="152">
        <f t="shared" si="18"/>
        <v>340</v>
      </c>
      <c r="B346" s="46" t="s">
        <v>722</v>
      </c>
      <c r="C346" s="46" t="str">
        <f>+IF(EstadoSolicitudes[[#This Row],[Aprobado OR]]="Aprobado",EstadoSolicitudes[[#This Row],[Aprobado OR]],
IF(EstadoSolicitudes[[#This Row],[Aprobado OR]]="Cancelado",EstadoSolicitudes[[#This Row],[Aprobado OR]],
IF(EstadoSolicitudes[[#This Row],[Cargue estudio al OR]]&gt;1,"Verificación Técnica",
IF(EstadoSolicitudes[[#This Row],[Fecha solicitud estudio]]&gt;1,"Estudio de conexión",
IF(EstadoSolicitudes[[#This Row],[Insumos revisados]]="No",IF(EstadoSolicitudes[[#This Row],[Fecha entrega insumos OR]]&gt;1,"Evolti","Espera de insumos"),
"Evolti")))))</f>
        <v>Evolti</v>
      </c>
      <c r="D346" s="46" t="s">
        <v>159</v>
      </c>
      <c r="E346" s="222" t="s">
        <v>723</v>
      </c>
      <c r="F346" s="222">
        <v>14451</v>
      </c>
      <c r="G346" s="135" t="s">
        <v>227</v>
      </c>
      <c r="H346" s="46">
        <v>901432582</v>
      </c>
      <c r="I346" s="136" t="s">
        <v>232</v>
      </c>
      <c r="J346" s="48">
        <v>45806</v>
      </c>
      <c r="K346" s="49">
        <v>15668</v>
      </c>
      <c r="L346" s="50" t="s">
        <v>434</v>
      </c>
      <c r="N346" s="75" t="s">
        <v>542</v>
      </c>
      <c r="R346" s="72"/>
      <c r="S346" s="48"/>
      <c r="U346" s="48"/>
      <c r="V346" s="48"/>
    </row>
    <row r="347" spans="1:22" hidden="1" x14ac:dyDescent="0.25">
      <c r="A347" s="152">
        <f t="shared" si="18"/>
        <v>341</v>
      </c>
      <c r="B347" s="46" t="s">
        <v>724</v>
      </c>
      <c r="C347" s="46" t="str">
        <f>+IF(EstadoSolicitudes[[#This Row],[Aprobado OR]]="Aprobado",EstadoSolicitudes[[#This Row],[Aprobado OR]],
IF(EstadoSolicitudes[[#This Row],[Aprobado OR]]="Cancelado",EstadoSolicitudes[[#This Row],[Aprobado OR]],
IF(EstadoSolicitudes[[#This Row],[Cargue estudio al OR]]&gt;1,"Verificación Técnica",
IF(EstadoSolicitudes[[#This Row],[Fecha solicitud estudio]]&gt;1,"Estudio de conexión",
IF(EstadoSolicitudes[[#This Row],[Insumos revisados]]="No",IF(EstadoSolicitudes[[#This Row],[Fecha entrega insumos OR]]&gt;1,"Evolti","Espera de insumos"),
"Evolti")))))</f>
        <v>Evolti</v>
      </c>
      <c r="D347" s="46" t="s">
        <v>159</v>
      </c>
      <c r="E347" s="222" t="s">
        <v>723</v>
      </c>
      <c r="F347" s="222">
        <v>14451</v>
      </c>
      <c r="G347" s="135" t="s">
        <v>227</v>
      </c>
      <c r="H347" s="46">
        <v>901432582</v>
      </c>
      <c r="I347" s="136" t="s">
        <v>267</v>
      </c>
      <c r="J347" s="48">
        <v>45806</v>
      </c>
      <c r="K347" s="49">
        <v>15669</v>
      </c>
      <c r="L347" s="50" t="s">
        <v>437</v>
      </c>
      <c r="N347" s="75" t="s">
        <v>542</v>
      </c>
      <c r="R347" s="72"/>
      <c r="S347" s="48"/>
      <c r="U347" s="48"/>
      <c r="V347" s="48"/>
    </row>
    <row r="348" spans="1:22" hidden="1" x14ac:dyDescent="0.25">
      <c r="A348" s="152">
        <f t="shared" ref="A348:A381" si="19">+A347+1</f>
        <v>342</v>
      </c>
      <c r="B348" s="46" t="s">
        <v>725</v>
      </c>
      <c r="C348" s="46" t="str">
        <f>+IF(EstadoSolicitudes[[#This Row],[Aprobado OR]]="Aprobado",EstadoSolicitudes[[#This Row],[Aprobado OR]],
IF(EstadoSolicitudes[[#This Row],[Aprobado OR]]="Cancelado",EstadoSolicitudes[[#This Row],[Aprobado OR]],
IF(EstadoSolicitudes[[#This Row],[Cargue estudio al OR]]&gt;1,"Verificación Técnica",
IF(EstadoSolicitudes[[#This Row],[Fecha solicitud estudio]]&gt;1,"Estudio de conexión",
IF(EstadoSolicitudes[[#This Row],[Insumos revisados]]="No",IF(EstadoSolicitudes[[#This Row],[Fecha entrega insumos OR]]&gt;1,"Evolti","Espera de insumos"),
"Evolti")))))</f>
        <v>Evolti</v>
      </c>
      <c r="D348" s="46" t="s">
        <v>159</v>
      </c>
      <c r="E348" s="222" t="s">
        <v>723</v>
      </c>
      <c r="F348" s="222">
        <v>14451</v>
      </c>
      <c r="G348" s="135" t="s">
        <v>227</v>
      </c>
      <c r="H348" s="46">
        <v>901432582</v>
      </c>
      <c r="I348" s="136" t="s">
        <v>671</v>
      </c>
      <c r="J348" s="48">
        <v>45806</v>
      </c>
      <c r="K348" s="49">
        <v>15671</v>
      </c>
      <c r="L348" s="50" t="s">
        <v>726</v>
      </c>
      <c r="N348" s="75" t="s">
        <v>542</v>
      </c>
      <c r="R348" s="72"/>
      <c r="S348" s="48"/>
      <c r="U348" s="48"/>
      <c r="V348" s="48"/>
    </row>
    <row r="349" spans="1:22" hidden="1" x14ac:dyDescent="0.25">
      <c r="A349" s="152">
        <f t="shared" si="19"/>
        <v>343</v>
      </c>
      <c r="B349" s="46" t="s">
        <v>727</v>
      </c>
      <c r="C349" s="46" t="str">
        <f>+IF(EstadoSolicitudes[[#This Row],[Aprobado OR]]="Aprobado",EstadoSolicitudes[[#This Row],[Aprobado OR]],
IF(EstadoSolicitudes[[#This Row],[Aprobado OR]]="Cancelado",EstadoSolicitudes[[#This Row],[Aprobado OR]],
IF(EstadoSolicitudes[[#This Row],[Cargue estudio al OR]]&gt;1,"Verificación Técnica",
IF(EstadoSolicitudes[[#This Row],[Fecha solicitud estudio]]&gt;1,"Estudio de conexión",
IF(EstadoSolicitudes[[#This Row],[Insumos revisados]]="No",IF(EstadoSolicitudes[[#This Row],[Fecha entrega insumos OR]]&gt;1,"Evolti","Espera de insumos"),
"Evolti")))))</f>
        <v>Evolti</v>
      </c>
      <c r="D349" s="46" t="s">
        <v>159</v>
      </c>
      <c r="E349" s="222" t="s">
        <v>728</v>
      </c>
      <c r="F349" s="222">
        <v>14553</v>
      </c>
      <c r="G349" s="135" t="s">
        <v>227</v>
      </c>
      <c r="H349" s="46">
        <v>901432582</v>
      </c>
      <c r="I349" s="136" t="s">
        <v>232</v>
      </c>
      <c r="J349" s="48">
        <v>45806</v>
      </c>
      <c r="K349" s="49">
        <v>15670</v>
      </c>
      <c r="L349" s="50" t="s">
        <v>434</v>
      </c>
      <c r="M349" s="48">
        <v>45819</v>
      </c>
      <c r="N349" s="75" t="s">
        <v>542</v>
      </c>
      <c r="R349" s="72"/>
      <c r="S349" s="48"/>
      <c r="U349" s="48"/>
      <c r="V349" s="48"/>
    </row>
    <row r="350" spans="1:22" hidden="1" x14ac:dyDescent="0.25">
      <c r="A350" s="152">
        <f t="shared" si="19"/>
        <v>344</v>
      </c>
      <c r="B350" s="46" t="s">
        <v>729</v>
      </c>
      <c r="C350" s="46" t="str">
        <f>+IF(EstadoSolicitudes[[#This Row],[Aprobado OR]]="Aprobado",EstadoSolicitudes[[#This Row],[Aprobado OR]],
IF(EstadoSolicitudes[[#This Row],[Aprobado OR]]="Cancelado",EstadoSolicitudes[[#This Row],[Aprobado OR]],
IF(EstadoSolicitudes[[#This Row],[Cargue estudio al OR]]&gt;1,"Verificación Técnica",
IF(EstadoSolicitudes[[#This Row],[Fecha solicitud estudio]]&gt;1,"Estudio de conexión",
IF(EstadoSolicitudes[[#This Row],[Insumos revisados]]="No",IF(EstadoSolicitudes[[#This Row],[Fecha entrega insumos OR]]&gt;1,"Evolti","Espera de insumos"),
"Evolti")))))</f>
        <v>Evolti</v>
      </c>
      <c r="D350" s="46" t="s">
        <v>159</v>
      </c>
      <c r="E350" s="222" t="s">
        <v>728</v>
      </c>
      <c r="F350" s="222">
        <v>14553</v>
      </c>
      <c r="G350" s="135" t="s">
        <v>227</v>
      </c>
      <c r="H350" s="46">
        <v>901432582</v>
      </c>
      <c r="I350" s="136" t="s">
        <v>267</v>
      </c>
      <c r="J350" s="48">
        <v>45806</v>
      </c>
      <c r="K350" s="49">
        <v>15672</v>
      </c>
      <c r="L350" s="50" t="s">
        <v>437</v>
      </c>
      <c r="M350" s="48">
        <v>45819</v>
      </c>
      <c r="N350" s="75" t="s">
        <v>542</v>
      </c>
      <c r="R350" s="72"/>
      <c r="S350" s="48"/>
      <c r="U350" s="48"/>
      <c r="V350" s="48"/>
    </row>
    <row r="351" spans="1:22" hidden="1" x14ac:dyDescent="0.25">
      <c r="A351" s="152">
        <f t="shared" si="19"/>
        <v>345</v>
      </c>
      <c r="B351" s="46" t="s">
        <v>730</v>
      </c>
      <c r="C351" s="46" t="str">
        <f>+IF(EstadoSolicitudes[[#This Row],[Aprobado OR]]="Aprobado",EstadoSolicitudes[[#This Row],[Aprobado OR]],
IF(EstadoSolicitudes[[#This Row],[Aprobado OR]]="Cancelado",EstadoSolicitudes[[#This Row],[Aprobado OR]],
IF(EstadoSolicitudes[[#This Row],[Cargue estudio al OR]]&gt;1,"Verificación Técnica",
IF(EstadoSolicitudes[[#This Row],[Fecha solicitud estudio]]&gt;1,"Estudio de conexión",
IF(EstadoSolicitudes[[#This Row],[Insumos revisados]]="No",IF(EstadoSolicitudes[[#This Row],[Fecha entrega insumos OR]]&gt;1,"Evolti","Espera de insumos"),
"Evolti")))))</f>
        <v>Evolti</v>
      </c>
      <c r="D351" t="s">
        <v>728</v>
      </c>
      <c r="E351" s="222" t="s">
        <v>728</v>
      </c>
      <c r="F351" s="222">
        <v>14553</v>
      </c>
      <c r="G351" s="135" t="s">
        <v>227</v>
      </c>
      <c r="H351" s="46">
        <v>901432582</v>
      </c>
      <c r="I351" s="159" t="s">
        <v>537</v>
      </c>
      <c r="J351" s="48">
        <v>45806</v>
      </c>
      <c r="K351" s="49">
        <v>15674</v>
      </c>
      <c r="L351" s="50" t="s">
        <v>578</v>
      </c>
      <c r="M351" s="48">
        <v>45819</v>
      </c>
      <c r="N351" s="75" t="s">
        <v>542</v>
      </c>
      <c r="R351" s="72"/>
      <c r="S351" s="48"/>
      <c r="U351" s="48"/>
      <c r="V351" s="48"/>
    </row>
    <row r="352" spans="1:22" hidden="1" x14ac:dyDescent="0.25">
      <c r="A352" s="152">
        <f t="shared" si="19"/>
        <v>346</v>
      </c>
      <c r="B352" s="46" t="s">
        <v>731</v>
      </c>
      <c r="C352" s="46" t="s">
        <v>144</v>
      </c>
      <c r="D352" s="46" t="s">
        <v>702</v>
      </c>
      <c r="G352" s="135" t="s">
        <v>227</v>
      </c>
      <c r="H352" s="46">
        <v>901432582</v>
      </c>
      <c r="I352" s="159" t="s">
        <v>232</v>
      </c>
      <c r="J352" s="48">
        <v>45806</v>
      </c>
      <c r="K352" s="49">
        <v>4783</v>
      </c>
      <c r="L352" s="50" t="s">
        <v>732</v>
      </c>
      <c r="N352" s="75" t="s">
        <v>229</v>
      </c>
      <c r="R352" s="72"/>
      <c r="S352" s="48"/>
      <c r="U352" s="48"/>
      <c r="V352" s="48"/>
    </row>
    <row r="353" spans="1:22" hidden="1" x14ac:dyDescent="0.25">
      <c r="A353" s="152">
        <f t="shared" si="19"/>
        <v>347</v>
      </c>
      <c r="B353" s="46" t="s">
        <v>733</v>
      </c>
      <c r="C353" s="46" t="s">
        <v>144</v>
      </c>
      <c r="D353" s="46" t="s">
        <v>702</v>
      </c>
      <c r="G353" s="135" t="s">
        <v>227</v>
      </c>
      <c r="H353" s="46">
        <v>901432582</v>
      </c>
      <c r="I353" s="160" t="s">
        <v>662</v>
      </c>
      <c r="J353" s="48">
        <v>45806</v>
      </c>
      <c r="K353" s="49">
        <v>4785</v>
      </c>
      <c r="L353" s="50" t="s">
        <v>734</v>
      </c>
      <c r="N353" s="75" t="s">
        <v>229</v>
      </c>
      <c r="R353" s="72"/>
      <c r="S353" s="48"/>
      <c r="U353" s="48"/>
      <c r="V353" s="48"/>
    </row>
    <row r="354" spans="1:22" hidden="1" x14ac:dyDescent="0.25">
      <c r="A354" s="152">
        <f t="shared" si="19"/>
        <v>348</v>
      </c>
      <c r="B354" s="46" t="s">
        <v>735</v>
      </c>
      <c r="C354" s="46" t="s">
        <v>144</v>
      </c>
      <c r="D354" s="46" t="s">
        <v>702</v>
      </c>
      <c r="G354" s="135" t="s">
        <v>227</v>
      </c>
      <c r="H354" s="46">
        <v>901432582</v>
      </c>
      <c r="I354" s="159" t="s">
        <v>267</v>
      </c>
      <c r="J354" s="48">
        <v>45806</v>
      </c>
      <c r="K354" s="49">
        <v>4784</v>
      </c>
      <c r="L354" s="50" t="s">
        <v>736</v>
      </c>
      <c r="N354" s="75" t="s">
        <v>229</v>
      </c>
      <c r="R354" s="72"/>
      <c r="S354" s="48"/>
      <c r="U354" s="48"/>
      <c r="V354" s="48"/>
    </row>
    <row r="355" spans="1:22" hidden="1" x14ac:dyDescent="0.25">
      <c r="A355" s="152">
        <f t="shared" si="19"/>
        <v>349</v>
      </c>
      <c r="B355" t="s">
        <v>737</v>
      </c>
      <c r="C355" s="46" t="str">
        <f>+IF(EstadoSolicitudes[[#This Row],[Aprobado OR]]="Aprobado",EstadoSolicitudes[[#This Row],[Aprobado OR]],
IF(EstadoSolicitudes[[#This Row],[Aprobado OR]]="Cancelado",EstadoSolicitudes[[#This Row],[Aprobado OR]],
IF(EstadoSolicitudes[[#This Row],[Cargue estudio al OR]]&gt;1,"Verificación Técnica",
IF(EstadoSolicitudes[[#This Row],[Fecha solicitud estudio]]&gt;1,"Estudio de conexión",
IF(EstadoSolicitudes[[#This Row],[Insumos revisados]]="No",IF(EstadoSolicitudes[[#This Row],[Fecha entrega insumos OR]]&gt;1,"Evolti","Espera de insumos"),
"Evolti")))))</f>
        <v>Cancelado</v>
      </c>
      <c r="D355" s="46" t="s">
        <v>158</v>
      </c>
      <c r="G355" s="135" t="s">
        <v>227</v>
      </c>
      <c r="H355" s="46">
        <v>901432582</v>
      </c>
      <c r="I355" s="136" t="s">
        <v>232</v>
      </c>
      <c r="J355" s="48">
        <v>45807</v>
      </c>
      <c r="K355" s="49">
        <v>795654987</v>
      </c>
      <c r="L355" s="50"/>
      <c r="N355" s="75" t="s">
        <v>229</v>
      </c>
      <c r="R355" s="72"/>
      <c r="S355" s="48"/>
      <c r="T355" s="48" t="s">
        <v>148</v>
      </c>
      <c r="U355" s="48"/>
      <c r="V355" s="48"/>
    </row>
    <row r="356" spans="1:22" hidden="1" x14ac:dyDescent="0.25">
      <c r="A356" s="152">
        <f t="shared" si="19"/>
        <v>350</v>
      </c>
      <c r="B356" t="s">
        <v>738</v>
      </c>
      <c r="C356" s="46" t="str">
        <f>+IF(EstadoSolicitudes[[#This Row],[Aprobado OR]]="Aprobado",EstadoSolicitudes[[#This Row],[Aprobado OR]],
IF(EstadoSolicitudes[[#This Row],[Aprobado OR]]="Cancelado",EstadoSolicitudes[[#This Row],[Aprobado OR]],
IF(EstadoSolicitudes[[#This Row],[Cargue estudio al OR]]&gt;1,"Verificación Técnica",
IF(EstadoSolicitudes[[#This Row],[Fecha solicitud estudio]]&gt;1,"Estudio de conexión",
IF(EstadoSolicitudes[[#This Row],[Insumos revisados]]="No",IF(EstadoSolicitudes[[#This Row],[Fecha entrega insumos OR]]&gt;1,"Evolti","Espera de insumos"),
"Evolti")))))</f>
        <v>Cancelado</v>
      </c>
      <c r="D356" s="46" t="s">
        <v>158</v>
      </c>
      <c r="G356" s="135" t="s">
        <v>227</v>
      </c>
      <c r="H356" s="46">
        <v>901432582</v>
      </c>
      <c r="I356" s="136" t="s">
        <v>232</v>
      </c>
      <c r="J356" s="48">
        <v>45807</v>
      </c>
      <c r="K356" s="50" t="s">
        <v>739</v>
      </c>
      <c r="L356" s="50"/>
      <c r="N356" s="75" t="s">
        <v>229</v>
      </c>
      <c r="R356" s="72"/>
      <c r="S356" s="48"/>
      <c r="T356" s="48" t="s">
        <v>148</v>
      </c>
      <c r="U356" s="48"/>
      <c r="V356" s="48"/>
    </row>
    <row r="357" spans="1:22" hidden="1" x14ac:dyDescent="0.25">
      <c r="A357" s="152">
        <f t="shared" si="19"/>
        <v>351</v>
      </c>
      <c r="B357" t="s">
        <v>740</v>
      </c>
      <c r="C357" s="46" t="str">
        <f>+IF(EstadoSolicitudes[[#This Row],[Aprobado OR]]="Aprobado",EstadoSolicitudes[[#This Row],[Aprobado OR]],
IF(EstadoSolicitudes[[#This Row],[Aprobado OR]]="Cancelado",EstadoSolicitudes[[#This Row],[Aprobado OR]],
IF(EstadoSolicitudes[[#This Row],[Cargue estudio al OR]]&gt;1,"Verificación Técnica",
IF(EstadoSolicitudes[[#This Row],[Fecha solicitud estudio]]&gt;1,"Estudio de conexión",
IF(EstadoSolicitudes[[#This Row],[Insumos revisados]]="No",IF(EstadoSolicitudes[[#This Row],[Fecha entrega insumos OR]]&gt;1,"Evolti","Espera de insumos"),
"Evolti")))))</f>
        <v>Cancelado</v>
      </c>
      <c r="D357" s="46" t="s">
        <v>158</v>
      </c>
      <c r="G357" s="135" t="s">
        <v>227</v>
      </c>
      <c r="H357" s="46">
        <v>901432582</v>
      </c>
      <c r="I357" s="136" t="s">
        <v>232</v>
      </c>
      <c r="J357" s="48">
        <v>45807</v>
      </c>
      <c r="K357" s="49">
        <v>795670052</v>
      </c>
      <c r="L357" s="50"/>
      <c r="N357" s="75" t="s">
        <v>229</v>
      </c>
      <c r="R357" s="72"/>
      <c r="S357" s="48"/>
      <c r="T357" s="48" t="s">
        <v>148</v>
      </c>
      <c r="U357" s="48"/>
      <c r="V357" s="48"/>
    </row>
    <row r="358" spans="1:22" hidden="1" x14ac:dyDescent="0.25">
      <c r="A358" s="152">
        <f t="shared" si="19"/>
        <v>352</v>
      </c>
      <c r="B358" s="46" t="s">
        <v>741</v>
      </c>
      <c r="C358" s="46" t="s">
        <v>144</v>
      </c>
      <c r="D358" s="46" t="s">
        <v>702</v>
      </c>
      <c r="G358" s="135" t="s">
        <v>227</v>
      </c>
      <c r="H358" s="46">
        <v>901432582</v>
      </c>
      <c r="I358" s="136" t="s">
        <v>232</v>
      </c>
      <c r="J358" s="48">
        <v>45807</v>
      </c>
      <c r="K358">
        <v>4803</v>
      </c>
      <c r="L358">
        <v>2474314</v>
      </c>
      <c r="N358" s="75" t="s">
        <v>229</v>
      </c>
      <c r="R358" s="72"/>
      <c r="S358" s="48"/>
      <c r="U358" s="48"/>
      <c r="V358" s="48"/>
    </row>
    <row r="359" spans="1:22" hidden="1" x14ac:dyDescent="0.25">
      <c r="A359" s="152">
        <f t="shared" si="19"/>
        <v>353</v>
      </c>
      <c r="B359" s="46" t="s">
        <v>742</v>
      </c>
      <c r="C359" s="46" t="s">
        <v>144</v>
      </c>
      <c r="D359" s="46" t="s">
        <v>702</v>
      </c>
      <c r="G359" s="135" t="s">
        <v>227</v>
      </c>
      <c r="H359" s="46">
        <v>901432582</v>
      </c>
      <c r="I359" s="136" t="s">
        <v>232</v>
      </c>
      <c r="J359" s="48">
        <v>45807</v>
      </c>
      <c r="K359">
        <v>4804</v>
      </c>
      <c r="L359">
        <v>1474413</v>
      </c>
      <c r="N359" s="75" t="s">
        <v>229</v>
      </c>
      <c r="R359" s="72"/>
      <c r="S359" s="48"/>
      <c r="U359" s="48"/>
      <c r="V359" s="48"/>
    </row>
    <row r="360" spans="1:22" hidden="1" x14ac:dyDescent="0.25">
      <c r="A360" s="152">
        <f t="shared" si="19"/>
        <v>354</v>
      </c>
      <c r="B360" s="46" t="s">
        <v>743</v>
      </c>
      <c r="C360" s="46" t="s">
        <v>144</v>
      </c>
      <c r="D360" s="46" t="s">
        <v>702</v>
      </c>
      <c r="G360" s="135" t="s">
        <v>227</v>
      </c>
      <c r="H360" s="46">
        <v>901432582</v>
      </c>
      <c r="I360" s="160" t="s">
        <v>662</v>
      </c>
      <c r="J360" s="48">
        <v>45807</v>
      </c>
      <c r="K360">
        <v>4805</v>
      </c>
      <c r="L360">
        <v>2474579</v>
      </c>
      <c r="N360" s="75" t="s">
        <v>229</v>
      </c>
      <c r="R360" s="72"/>
      <c r="S360" s="48"/>
      <c r="U360" s="48"/>
      <c r="V360" s="48"/>
    </row>
    <row r="361" spans="1:22" hidden="1" x14ac:dyDescent="0.25">
      <c r="A361" s="152">
        <f t="shared" si="19"/>
        <v>355</v>
      </c>
      <c r="B361" s="46" t="s">
        <v>744</v>
      </c>
      <c r="C361" s="46" t="s">
        <v>144</v>
      </c>
      <c r="D361" s="46" t="s">
        <v>159</v>
      </c>
      <c r="E361" s="222" t="s">
        <v>515</v>
      </c>
      <c r="F361" s="222">
        <v>14705</v>
      </c>
      <c r="G361" s="135" t="s">
        <v>227</v>
      </c>
      <c r="H361" s="46">
        <v>901432582</v>
      </c>
      <c r="I361" s="136" t="s">
        <v>232</v>
      </c>
      <c r="J361" s="48">
        <v>45807</v>
      </c>
      <c r="K361" s="49">
        <v>15679</v>
      </c>
      <c r="L361" s="50" t="s">
        <v>434</v>
      </c>
      <c r="M361" s="48">
        <v>45815</v>
      </c>
      <c r="N361" s="75" t="s">
        <v>542</v>
      </c>
      <c r="R361" s="72"/>
      <c r="S361" s="48"/>
      <c r="U361" s="48"/>
      <c r="V361" s="48"/>
    </row>
    <row r="362" spans="1:22" hidden="1" x14ac:dyDescent="0.25">
      <c r="A362" s="152">
        <f t="shared" si="19"/>
        <v>356</v>
      </c>
      <c r="B362" s="46" t="s">
        <v>745</v>
      </c>
      <c r="C362" s="46" t="s">
        <v>144</v>
      </c>
      <c r="D362" s="46" t="s">
        <v>159</v>
      </c>
      <c r="E362" s="222" t="s">
        <v>515</v>
      </c>
      <c r="F362" s="222">
        <v>14705</v>
      </c>
      <c r="G362" s="135" t="s">
        <v>227</v>
      </c>
      <c r="H362" s="46">
        <v>901432582</v>
      </c>
      <c r="I362" s="159" t="s">
        <v>267</v>
      </c>
      <c r="J362" s="48">
        <v>45807</v>
      </c>
      <c r="K362" s="49">
        <v>15680</v>
      </c>
      <c r="L362" s="50" t="s">
        <v>437</v>
      </c>
      <c r="M362" s="48">
        <v>45815</v>
      </c>
      <c r="N362" s="75" t="s">
        <v>542</v>
      </c>
      <c r="R362" s="72"/>
      <c r="S362" s="48"/>
      <c r="U362" s="48"/>
      <c r="V362" s="48"/>
    </row>
    <row r="363" spans="1:22" hidden="1" x14ac:dyDescent="0.25">
      <c r="A363" s="152">
        <f t="shared" si="19"/>
        <v>357</v>
      </c>
      <c r="B363" s="46" t="s">
        <v>746</v>
      </c>
      <c r="C363" s="46" t="s">
        <v>144</v>
      </c>
      <c r="D363" s="46" t="s">
        <v>159</v>
      </c>
      <c r="E363" s="222" t="s">
        <v>515</v>
      </c>
      <c r="F363" s="222">
        <v>14705</v>
      </c>
      <c r="G363" s="135" t="s">
        <v>227</v>
      </c>
      <c r="H363" s="46">
        <v>901432582</v>
      </c>
      <c r="I363" s="159" t="s">
        <v>537</v>
      </c>
      <c r="J363" s="48">
        <v>45807</v>
      </c>
      <c r="K363" s="49">
        <v>15681</v>
      </c>
      <c r="L363" s="50" t="s">
        <v>578</v>
      </c>
      <c r="M363" s="48">
        <v>45815</v>
      </c>
      <c r="N363" s="75" t="s">
        <v>542</v>
      </c>
      <c r="R363" s="72"/>
      <c r="S363" s="48"/>
      <c r="U363" s="48"/>
      <c r="V363" s="48"/>
    </row>
    <row r="364" spans="1:22" hidden="1" x14ac:dyDescent="0.25">
      <c r="A364" s="152">
        <f t="shared" si="19"/>
        <v>358</v>
      </c>
      <c r="B364" s="46" t="s">
        <v>747</v>
      </c>
      <c r="C364" s="46" t="s">
        <v>144</v>
      </c>
      <c r="D364" s="46" t="s">
        <v>161</v>
      </c>
      <c r="E364" s="152" t="s">
        <v>748</v>
      </c>
      <c r="F364" s="152" t="s">
        <v>749</v>
      </c>
      <c r="G364" s="135" t="s">
        <v>227</v>
      </c>
      <c r="H364" s="46">
        <v>901432582</v>
      </c>
      <c r="I364" s="136" t="s">
        <v>232</v>
      </c>
      <c r="J364" s="48">
        <v>45811</v>
      </c>
      <c r="K364" s="49">
        <v>64512624</v>
      </c>
      <c r="L364" s="50" t="s">
        <v>750</v>
      </c>
      <c r="N364" s="75" t="s">
        <v>229</v>
      </c>
      <c r="R364" s="72"/>
      <c r="S364" s="48"/>
      <c r="U364" s="48"/>
      <c r="V364" s="48"/>
    </row>
    <row r="365" spans="1:22" hidden="1" x14ac:dyDescent="0.25">
      <c r="A365" s="152">
        <f>+A364+1</f>
        <v>359</v>
      </c>
      <c r="B365" s="46" t="s">
        <v>751</v>
      </c>
      <c r="C365" s="46" t="s">
        <v>144</v>
      </c>
      <c r="D365" s="46" t="s">
        <v>161</v>
      </c>
      <c r="E365" s="152" t="s">
        <v>748</v>
      </c>
      <c r="F365" s="152" t="s">
        <v>749</v>
      </c>
      <c r="G365" s="135" t="s">
        <v>227</v>
      </c>
      <c r="H365" s="46">
        <v>901432582</v>
      </c>
      <c r="I365" s="136" t="s">
        <v>232</v>
      </c>
      <c r="J365" s="48">
        <v>45811</v>
      </c>
      <c r="K365" s="49">
        <v>64512993</v>
      </c>
      <c r="L365" s="50" t="s">
        <v>752</v>
      </c>
      <c r="N365" s="75" t="s">
        <v>229</v>
      </c>
      <c r="R365" s="72"/>
      <c r="S365" s="48"/>
      <c r="U365" s="48"/>
      <c r="V365" s="48"/>
    </row>
    <row r="366" spans="1:22" hidden="1" x14ac:dyDescent="0.25">
      <c r="A366" s="152">
        <f>+A365+1</f>
        <v>360</v>
      </c>
      <c r="B366" s="46" t="s">
        <v>753</v>
      </c>
      <c r="C366" s="46" t="s">
        <v>144</v>
      </c>
      <c r="D366" s="46" t="s">
        <v>161</v>
      </c>
      <c r="E366" s="152" t="s">
        <v>748</v>
      </c>
      <c r="F366" s="152" t="s">
        <v>749</v>
      </c>
      <c r="G366" s="135" t="s">
        <v>227</v>
      </c>
      <c r="H366" s="46">
        <v>901432582</v>
      </c>
      <c r="I366" s="136" t="s">
        <v>232</v>
      </c>
      <c r="J366" s="48">
        <v>45811</v>
      </c>
      <c r="K366" s="49">
        <v>64513125</v>
      </c>
      <c r="L366" s="50" t="s">
        <v>1382</v>
      </c>
      <c r="N366" s="75" t="s">
        <v>229</v>
      </c>
      <c r="R366" s="72"/>
      <c r="S366" s="48"/>
      <c r="U366" s="48"/>
      <c r="V366" s="48"/>
    </row>
    <row r="367" spans="1:22" hidden="1" x14ac:dyDescent="0.25">
      <c r="A367" s="152">
        <f t="shared" si="19"/>
        <v>361</v>
      </c>
      <c r="B367" s="46" t="s">
        <v>754</v>
      </c>
      <c r="C367" s="46" t="s">
        <v>144</v>
      </c>
      <c r="G367" s="135" t="s">
        <v>227</v>
      </c>
      <c r="H367" s="46">
        <v>901432582</v>
      </c>
      <c r="I367" s="160" t="s">
        <v>529</v>
      </c>
      <c r="J367" s="48">
        <v>45807</v>
      </c>
      <c r="K367" s="49"/>
      <c r="L367" s="50"/>
      <c r="N367" s="75" t="s">
        <v>542</v>
      </c>
      <c r="R367" s="72"/>
      <c r="S367" s="48"/>
      <c r="U367" s="48"/>
      <c r="V367" s="48"/>
    </row>
    <row r="368" spans="1:22" hidden="1" x14ac:dyDescent="0.25">
      <c r="A368" s="152">
        <f t="shared" si="19"/>
        <v>362</v>
      </c>
      <c r="B368" s="129" t="s">
        <v>755</v>
      </c>
      <c r="C368" s="46" t="s">
        <v>144</v>
      </c>
      <c r="G368" s="135" t="s">
        <v>227</v>
      </c>
      <c r="H368" s="46">
        <v>901432582</v>
      </c>
      <c r="I368" s="160" t="s">
        <v>529</v>
      </c>
      <c r="J368" s="48">
        <v>45807</v>
      </c>
      <c r="K368" s="49"/>
      <c r="L368" s="50"/>
      <c r="N368" s="75" t="s">
        <v>542</v>
      </c>
      <c r="R368" s="72"/>
      <c r="S368" s="48"/>
      <c r="U368" s="48"/>
      <c r="V368" s="48"/>
    </row>
    <row r="369" spans="1:22" hidden="1" x14ac:dyDescent="0.25">
      <c r="A369" s="152">
        <f t="shared" si="19"/>
        <v>363</v>
      </c>
      <c r="B369" s="129" t="s">
        <v>756</v>
      </c>
      <c r="C369" s="46" t="s">
        <v>144</v>
      </c>
      <c r="G369" s="135" t="s">
        <v>227</v>
      </c>
      <c r="H369" s="46">
        <v>901432582</v>
      </c>
      <c r="I369" s="160" t="s">
        <v>529</v>
      </c>
      <c r="J369" s="48">
        <v>45807</v>
      </c>
      <c r="K369" s="49"/>
      <c r="L369" s="50"/>
      <c r="N369" s="75" t="s">
        <v>542</v>
      </c>
      <c r="R369" s="72"/>
      <c r="S369" s="48"/>
      <c r="U369" s="48"/>
      <c r="V369" s="48"/>
    </row>
    <row r="370" spans="1:22" hidden="1" x14ac:dyDescent="0.25">
      <c r="A370" s="152">
        <f t="shared" si="19"/>
        <v>364</v>
      </c>
      <c r="B370" s="46" t="s">
        <v>757</v>
      </c>
      <c r="C370" s="46" t="str">
        <f>+IF(EstadoSolicitudes[[#This Row],[Aprobado OR]]="Aprobado",EstadoSolicitudes[[#This Row],[Aprobado OR]],
IF(EstadoSolicitudes[[#This Row],[Aprobado OR]]="Cancelado",EstadoSolicitudes[[#This Row],[Aprobado OR]],
IF(EstadoSolicitudes[[#This Row],[Cargue estudio al OR]]&gt;1,"Verificación Técnica",
IF(EstadoSolicitudes[[#This Row],[Fecha solicitud estudio]]&gt;1,"Estudio de conexión",
IF(EstadoSolicitudes[[#This Row],[Insumos revisados]]="No",IF(EstadoSolicitudes[[#This Row],[Fecha entrega insumos OR]]&gt;1,"Evolti","Espera de insumos"),
"Evolti")))))</f>
        <v>Evolti</v>
      </c>
      <c r="D370" s="46" t="s">
        <v>151</v>
      </c>
      <c r="E370" s="152" t="s">
        <v>758</v>
      </c>
      <c r="F370" s="152" t="s">
        <v>759</v>
      </c>
      <c r="G370" s="135" t="s">
        <v>227</v>
      </c>
      <c r="H370" s="46">
        <v>901432582</v>
      </c>
      <c r="I370" s="136" t="s">
        <v>232</v>
      </c>
      <c r="J370" s="48">
        <v>45793</v>
      </c>
      <c r="K370" s="49"/>
      <c r="L370" s="50"/>
      <c r="M370" s="48">
        <v>45806</v>
      </c>
      <c r="N370" s="75" t="s">
        <v>542</v>
      </c>
      <c r="R370" s="72"/>
      <c r="S370" s="48"/>
      <c r="U370" s="48"/>
      <c r="V370" s="48"/>
    </row>
    <row r="371" spans="1:22" hidden="1" x14ac:dyDescent="0.25">
      <c r="A371" s="152">
        <f t="shared" si="19"/>
        <v>365</v>
      </c>
      <c r="B371" s="46" t="s">
        <v>757</v>
      </c>
      <c r="C371" s="46" t="str">
        <f>+IF(EstadoSolicitudes[[#This Row],[Aprobado OR]]="Aprobado",EstadoSolicitudes[[#This Row],[Aprobado OR]],
IF(EstadoSolicitudes[[#This Row],[Aprobado OR]]="Cancelado",EstadoSolicitudes[[#This Row],[Aprobado OR]],
IF(EstadoSolicitudes[[#This Row],[Cargue estudio al OR]]&gt;1,"Verificación Técnica",
IF(EstadoSolicitudes[[#This Row],[Fecha solicitud estudio]]&gt;1,"Estudio de conexión",
IF(EstadoSolicitudes[[#This Row],[Insumos revisados]]="No",IF(EstadoSolicitudes[[#This Row],[Fecha entrega insumos OR]]&gt;1,"Evolti","Espera de insumos"),
"Evolti")))))</f>
        <v>Evolti</v>
      </c>
      <c r="D371" s="46" t="s">
        <v>151</v>
      </c>
      <c r="E371" s="152" t="s">
        <v>758</v>
      </c>
      <c r="F371" s="152" t="s">
        <v>759</v>
      </c>
      <c r="G371" s="135" t="s">
        <v>227</v>
      </c>
      <c r="H371" s="46">
        <v>901432582</v>
      </c>
      <c r="I371" s="159" t="s">
        <v>267</v>
      </c>
      <c r="J371" s="48">
        <v>45793</v>
      </c>
      <c r="K371" s="49"/>
      <c r="L371" s="50"/>
      <c r="M371" s="48">
        <v>45806</v>
      </c>
      <c r="N371" s="75" t="s">
        <v>542</v>
      </c>
      <c r="R371" s="72"/>
      <c r="S371" s="48"/>
      <c r="U371" s="48"/>
      <c r="V371" s="48"/>
    </row>
    <row r="372" spans="1:22" hidden="1" x14ac:dyDescent="0.25">
      <c r="A372" s="152">
        <f t="shared" si="19"/>
        <v>366</v>
      </c>
      <c r="B372" s="46" t="s">
        <v>757</v>
      </c>
      <c r="C372" s="46" t="str">
        <f>+IF(EstadoSolicitudes[[#This Row],[Aprobado OR]]="Aprobado",EstadoSolicitudes[[#This Row],[Aprobado OR]],
IF(EstadoSolicitudes[[#This Row],[Aprobado OR]]="Cancelado",EstadoSolicitudes[[#This Row],[Aprobado OR]],
IF(EstadoSolicitudes[[#This Row],[Cargue estudio al OR]]&gt;1,"Verificación Técnica",
IF(EstadoSolicitudes[[#This Row],[Fecha solicitud estudio]]&gt;1,"Estudio de conexión",
IF(EstadoSolicitudes[[#This Row],[Insumos revisados]]="No",IF(EstadoSolicitudes[[#This Row],[Fecha entrega insumos OR]]&gt;1,"Evolti","Espera de insumos"),
"Evolti")))))</f>
        <v>Evolti</v>
      </c>
      <c r="D372" s="46" t="s">
        <v>151</v>
      </c>
      <c r="E372" s="152" t="s">
        <v>758</v>
      </c>
      <c r="F372" s="152" t="s">
        <v>759</v>
      </c>
      <c r="G372" s="135" t="s">
        <v>227</v>
      </c>
      <c r="H372" s="46">
        <v>901432582</v>
      </c>
      <c r="I372" s="160" t="s">
        <v>662</v>
      </c>
      <c r="J372" s="48">
        <v>45793</v>
      </c>
      <c r="K372" s="49"/>
      <c r="L372" s="50"/>
      <c r="M372" s="48">
        <v>45806</v>
      </c>
      <c r="N372" s="75" t="s">
        <v>542</v>
      </c>
      <c r="R372" s="72"/>
      <c r="S372" s="48"/>
      <c r="U372" s="48"/>
      <c r="V372" s="48"/>
    </row>
    <row r="373" spans="1:22" hidden="1" x14ac:dyDescent="0.25">
      <c r="A373" s="152">
        <f t="shared" si="19"/>
        <v>367</v>
      </c>
      <c r="B373" s="46" t="s">
        <v>737</v>
      </c>
      <c r="C373" s="46" t="str">
        <f>+IF(EstadoSolicitudes[[#This Row],[Aprobado OR]]="Aprobado",EstadoSolicitudes[[#This Row],[Aprobado OR]],
IF(EstadoSolicitudes[[#This Row],[Aprobado OR]]="Cancelado",EstadoSolicitudes[[#This Row],[Aprobado OR]],
IF(EstadoSolicitudes[[#This Row],[Cargue estudio al OR]]&gt;1,"Verificación Técnica",
IF(EstadoSolicitudes[[#This Row],[Fecha solicitud estudio]]&gt;1,"Estudio de conexión",
IF(EstadoSolicitudes[[#This Row],[Insumos revisados]]="No",IF(EstadoSolicitudes[[#This Row],[Fecha entrega insumos OR]]&gt;1,"Evolti","Espera de insumos"),
"Evolti")))))</f>
        <v>Evolti</v>
      </c>
      <c r="D373" s="46" t="s">
        <v>158</v>
      </c>
      <c r="G373" s="46" t="s">
        <v>227</v>
      </c>
      <c r="H373" s="46">
        <v>901432582</v>
      </c>
      <c r="I373" s="78" t="s">
        <v>232</v>
      </c>
      <c r="J373" s="48">
        <v>45814</v>
      </c>
      <c r="K373" s="49">
        <v>799580577</v>
      </c>
      <c r="L373" s="50"/>
      <c r="M373" s="48">
        <v>45832</v>
      </c>
      <c r="N373" s="75" t="s">
        <v>542</v>
      </c>
      <c r="R373" s="72"/>
      <c r="S373" s="48"/>
      <c r="U373" s="48"/>
      <c r="V373" s="48"/>
    </row>
    <row r="374" spans="1:22" hidden="1" x14ac:dyDescent="0.25">
      <c r="A374" s="152">
        <f t="shared" si="19"/>
        <v>368</v>
      </c>
      <c r="B374" s="46" t="s">
        <v>738</v>
      </c>
      <c r="C374" s="46" t="str">
        <f>+IF(EstadoSolicitudes[[#This Row],[Aprobado OR]]="Aprobado",EstadoSolicitudes[[#This Row],[Aprobado OR]],
IF(EstadoSolicitudes[[#This Row],[Aprobado OR]]="Cancelado",EstadoSolicitudes[[#This Row],[Aprobado OR]],
IF(EstadoSolicitudes[[#This Row],[Cargue estudio al OR]]&gt;1,"Verificación Técnica",
IF(EstadoSolicitudes[[#This Row],[Fecha solicitud estudio]]&gt;1,"Estudio de conexión",
IF(EstadoSolicitudes[[#This Row],[Insumos revisados]]="No",IF(EstadoSolicitudes[[#This Row],[Fecha entrega insumos OR]]&gt;1,"Evolti","Espera de insumos"),
"Evolti")))))</f>
        <v>Evolti</v>
      </c>
      <c r="D374" s="46" t="s">
        <v>158</v>
      </c>
      <c r="G374" s="46" t="s">
        <v>227</v>
      </c>
      <c r="H374" s="46">
        <v>901432582</v>
      </c>
      <c r="I374" s="78" t="s">
        <v>232</v>
      </c>
      <c r="J374" s="48">
        <v>45814</v>
      </c>
      <c r="K374" s="49">
        <v>799583865</v>
      </c>
      <c r="L374" s="50"/>
      <c r="M374" s="48">
        <v>45832</v>
      </c>
      <c r="N374" s="75" t="s">
        <v>542</v>
      </c>
      <c r="R374" s="72"/>
      <c r="S374" s="48"/>
      <c r="U374" s="48"/>
      <c r="V374" s="48"/>
    </row>
    <row r="375" spans="1:22" hidden="1" x14ac:dyDescent="0.25">
      <c r="A375" s="152">
        <f t="shared" si="19"/>
        <v>369</v>
      </c>
      <c r="B375" s="46" t="s">
        <v>760</v>
      </c>
      <c r="C375" s="46" t="str">
        <f>+IF(EstadoSolicitudes[[#This Row],[Aprobado OR]]="Aprobado",EstadoSolicitudes[[#This Row],[Aprobado OR]],
IF(EstadoSolicitudes[[#This Row],[Aprobado OR]]="Cancelado",EstadoSolicitudes[[#This Row],[Aprobado OR]],
IF(EstadoSolicitudes[[#This Row],[Cargue estudio al OR]]&gt;1,"Verificación Técnica",
IF(EstadoSolicitudes[[#This Row],[Fecha solicitud estudio]]&gt;1,"Estudio de conexión",
IF(EstadoSolicitudes[[#This Row],[Insumos revisados]]="No",IF(EstadoSolicitudes[[#This Row],[Fecha entrega insumos OR]]&gt;1,"Evolti","Espera de insumos"),
"Evolti")))))</f>
        <v>Espera de insumos</v>
      </c>
      <c r="D375" s="46" t="s">
        <v>158</v>
      </c>
      <c r="G375" s="46" t="s">
        <v>227</v>
      </c>
      <c r="H375" s="46">
        <v>901432582</v>
      </c>
      <c r="I375" s="78" t="s">
        <v>232</v>
      </c>
      <c r="J375" s="48">
        <v>45817</v>
      </c>
      <c r="K375" s="49">
        <v>800300073</v>
      </c>
      <c r="L375" s="50"/>
      <c r="N375" s="75" t="s">
        <v>229</v>
      </c>
      <c r="R375" s="72"/>
      <c r="S375" s="48"/>
      <c r="U375" s="48"/>
      <c r="V375" s="48"/>
    </row>
    <row r="376" spans="1:22" hidden="1" x14ac:dyDescent="0.25">
      <c r="A376" s="152">
        <f t="shared" si="19"/>
        <v>370</v>
      </c>
      <c r="B376" s="46" t="s">
        <v>761</v>
      </c>
      <c r="C376" s="46" t="str">
        <f>+IF(EstadoSolicitudes[[#This Row],[Aprobado OR]]="Aprobado",EstadoSolicitudes[[#This Row],[Aprobado OR]],
IF(EstadoSolicitudes[[#This Row],[Aprobado OR]]="Cancelado",EstadoSolicitudes[[#This Row],[Aprobado OR]],
IF(EstadoSolicitudes[[#This Row],[Cargue estudio al OR]]&gt;1,"Verificación Técnica",
IF(EstadoSolicitudes[[#This Row],[Fecha solicitud estudio]]&gt;1,"Estudio de conexión",
IF(EstadoSolicitudes[[#This Row],[Insumos revisados]]="No",IF(EstadoSolicitudes[[#This Row],[Fecha entrega insumos OR]]&gt;1,"Evolti","Espera de insumos"),
"Evolti")))))</f>
        <v>Espera de insumos</v>
      </c>
      <c r="D376" s="46" t="s">
        <v>158</v>
      </c>
      <c r="G376" s="46" t="s">
        <v>227</v>
      </c>
      <c r="H376" s="46">
        <v>901432582</v>
      </c>
      <c r="I376" s="78" t="s">
        <v>232</v>
      </c>
      <c r="J376" s="48">
        <v>45818</v>
      </c>
      <c r="K376" s="49">
        <v>801090074</v>
      </c>
      <c r="L376" s="50"/>
      <c r="N376" s="75" t="s">
        <v>229</v>
      </c>
      <c r="R376" s="72"/>
      <c r="S376" s="48"/>
      <c r="U376" s="48"/>
      <c r="V376" s="48"/>
    </row>
    <row r="377" spans="1:22" hidden="1" x14ac:dyDescent="0.25">
      <c r="A377" s="152">
        <f>+A376+1</f>
        <v>371</v>
      </c>
      <c r="B377" s="46" t="s">
        <v>762</v>
      </c>
      <c r="C377" s="46" t="str">
        <f>+IF(EstadoSolicitudes[[#This Row],[Aprobado OR]]="Aprobado",EstadoSolicitudes[[#This Row],[Aprobado OR]],
IF(EstadoSolicitudes[[#This Row],[Aprobado OR]]="Cancelado",EstadoSolicitudes[[#This Row],[Aprobado OR]],
IF(EstadoSolicitudes[[#This Row],[Cargue estudio al OR]]&gt;1,"Verificación Técnica",
IF(EstadoSolicitudes[[#This Row],[Fecha solicitud estudio]]&gt;1,"Estudio de conexión",
IF(EstadoSolicitudes[[#This Row],[Insumos revisados]]="No",IF(EstadoSolicitudes[[#This Row],[Fecha entrega insumos OR]]&gt;1,"Evolti","Espera de insumos"),
"Evolti")))))</f>
        <v>Espera de insumos</v>
      </c>
      <c r="D377" s="46" t="s">
        <v>158</v>
      </c>
      <c r="G377" s="46" t="s">
        <v>227</v>
      </c>
      <c r="H377" s="46">
        <v>901432582</v>
      </c>
      <c r="I377" s="78" t="s">
        <v>232</v>
      </c>
      <c r="J377" s="48">
        <v>45818</v>
      </c>
      <c r="K377" s="49">
        <v>801113605</v>
      </c>
      <c r="L377" s="50"/>
      <c r="N377" s="75" t="s">
        <v>229</v>
      </c>
      <c r="R377" s="72"/>
      <c r="S377" s="48"/>
      <c r="U377" s="48"/>
      <c r="V377" s="48"/>
    </row>
    <row r="378" spans="1:22" hidden="1" x14ac:dyDescent="0.25">
      <c r="A378" s="152">
        <f>+A377+1</f>
        <v>372</v>
      </c>
      <c r="B378" s="46" t="s">
        <v>763</v>
      </c>
      <c r="C378" s="46" t="str">
        <f>+IF(EstadoSolicitudes[[#This Row],[Aprobado OR]]="Aprobado",EstadoSolicitudes[[#This Row],[Aprobado OR]],
IF(EstadoSolicitudes[[#This Row],[Aprobado OR]]="Cancelado",EstadoSolicitudes[[#This Row],[Aprobado OR]],
IF(EstadoSolicitudes[[#This Row],[Cargue estudio al OR]]&gt;1,"Verificación Técnica",
IF(EstadoSolicitudes[[#This Row],[Fecha solicitud estudio]]&gt;1,"Estudio de conexión",
IF(EstadoSolicitudes[[#This Row],[Insumos revisados]]="No",IF(EstadoSolicitudes[[#This Row],[Fecha entrega insumos OR]]&gt;1,"Evolti","Espera de insumos"),
"Evolti")))))</f>
        <v>Espera de insumos</v>
      </c>
      <c r="D378" s="46" t="s">
        <v>158</v>
      </c>
      <c r="G378" s="46" t="s">
        <v>227</v>
      </c>
      <c r="H378" s="46">
        <v>901432582</v>
      </c>
      <c r="I378" s="78" t="s">
        <v>232</v>
      </c>
      <c r="J378" s="48">
        <v>45818</v>
      </c>
      <c r="K378" s="49">
        <v>801123163</v>
      </c>
      <c r="L378" s="50"/>
      <c r="N378" s="75" t="s">
        <v>229</v>
      </c>
      <c r="R378" s="72"/>
      <c r="S378" s="48"/>
      <c r="U378" s="48"/>
      <c r="V378" s="48"/>
    </row>
    <row r="379" spans="1:22" hidden="1" x14ac:dyDescent="0.25">
      <c r="A379" s="152">
        <f t="shared" si="19"/>
        <v>373</v>
      </c>
      <c r="B379" s="46" t="s">
        <v>764</v>
      </c>
      <c r="C379" s="46" t="str">
        <f>+IF(EstadoSolicitudes[[#This Row],[Aprobado OR]]="Aprobado",EstadoSolicitudes[[#This Row],[Aprobado OR]],
IF(EstadoSolicitudes[[#This Row],[Aprobado OR]]="Cancelado",EstadoSolicitudes[[#This Row],[Aprobado OR]],
IF(EstadoSolicitudes[[#This Row],[Cargue estudio al OR]]&gt;1,"Verificación Técnica",
IF(EstadoSolicitudes[[#This Row],[Fecha solicitud estudio]]&gt;1,"Estudio de conexión",
IF(EstadoSolicitudes[[#This Row],[Insumos revisados]]="No",IF(EstadoSolicitudes[[#This Row],[Fecha entrega insumos OR]]&gt;1,"Evolti","Espera de insumos"),
"Evolti")))))</f>
        <v>Evolti</v>
      </c>
      <c r="D379" s="46" t="s">
        <v>159</v>
      </c>
      <c r="E379" s="222" t="s">
        <v>728</v>
      </c>
      <c r="F379" s="222">
        <v>14553</v>
      </c>
      <c r="G379" s="46" t="s">
        <v>227</v>
      </c>
      <c r="H379" s="46">
        <v>901432582</v>
      </c>
      <c r="I379" s="78" t="s">
        <v>232</v>
      </c>
      <c r="J379" s="48">
        <v>45818</v>
      </c>
      <c r="K379" s="49">
        <v>15701</v>
      </c>
      <c r="L379" s="50" t="s">
        <v>434</v>
      </c>
      <c r="M379" s="48">
        <v>45819</v>
      </c>
      <c r="N379" s="75" t="s">
        <v>542</v>
      </c>
      <c r="R379" s="72"/>
      <c r="S379" s="48"/>
      <c r="U379" s="48"/>
      <c r="V379" s="48"/>
    </row>
    <row r="380" spans="1:22" hidden="1" x14ac:dyDescent="0.25">
      <c r="A380" s="152">
        <f t="shared" si="19"/>
        <v>374</v>
      </c>
      <c r="B380" s="46" t="s">
        <v>765</v>
      </c>
      <c r="C380" s="46" t="str">
        <f>+IF(EstadoSolicitudes[[#This Row],[Aprobado OR]]="Aprobado",EstadoSolicitudes[[#This Row],[Aprobado OR]],
IF(EstadoSolicitudes[[#This Row],[Aprobado OR]]="Cancelado",EstadoSolicitudes[[#This Row],[Aprobado OR]],
IF(EstadoSolicitudes[[#This Row],[Cargue estudio al OR]]&gt;1,"Verificación Técnica",
IF(EstadoSolicitudes[[#This Row],[Fecha solicitud estudio]]&gt;1,"Estudio de conexión",
IF(EstadoSolicitudes[[#This Row],[Insumos revisados]]="No",IF(EstadoSolicitudes[[#This Row],[Fecha entrega insumos OR]]&gt;1,"Evolti","Espera de insumos"),
"Evolti")))))</f>
        <v>Evolti</v>
      </c>
      <c r="D380" s="46" t="s">
        <v>159</v>
      </c>
      <c r="E380" s="222" t="s">
        <v>728</v>
      </c>
      <c r="F380" s="222">
        <v>14553</v>
      </c>
      <c r="G380" s="46" t="s">
        <v>227</v>
      </c>
      <c r="H380" s="46">
        <v>901432582</v>
      </c>
      <c r="I380" s="160" t="s">
        <v>267</v>
      </c>
      <c r="J380" s="48">
        <v>45818</v>
      </c>
      <c r="K380" s="49">
        <v>15702</v>
      </c>
      <c r="L380" s="50" t="s">
        <v>437</v>
      </c>
      <c r="M380" s="48">
        <v>45819</v>
      </c>
      <c r="N380" s="75" t="s">
        <v>542</v>
      </c>
      <c r="R380" s="72"/>
      <c r="S380" s="48"/>
      <c r="U380" s="48"/>
      <c r="V380" s="48"/>
    </row>
    <row r="381" spans="1:22" hidden="1" x14ac:dyDescent="0.25">
      <c r="A381" s="152">
        <f t="shared" si="19"/>
        <v>375</v>
      </c>
      <c r="B381" s="46" t="s">
        <v>766</v>
      </c>
      <c r="C381" s="46" t="str">
        <f>+IF(EstadoSolicitudes[[#This Row],[Aprobado OR]]="Aprobado",EstadoSolicitudes[[#This Row],[Aprobado OR]],
IF(EstadoSolicitudes[[#This Row],[Aprobado OR]]="Cancelado",EstadoSolicitudes[[#This Row],[Aprobado OR]],
IF(EstadoSolicitudes[[#This Row],[Cargue estudio al OR]]&gt;1,"Verificación Técnica",
IF(EstadoSolicitudes[[#This Row],[Fecha solicitud estudio]]&gt;1,"Estudio de conexión",
IF(EstadoSolicitudes[[#This Row],[Insumos revisados]]="No",IF(EstadoSolicitudes[[#This Row],[Fecha entrega insumos OR]]&gt;1,"Evolti","Espera de insumos"),
"Evolti")))))</f>
        <v>Evolti</v>
      </c>
      <c r="D381" s="46" t="s">
        <v>159</v>
      </c>
      <c r="E381" s="222" t="s">
        <v>728</v>
      </c>
      <c r="F381" s="222">
        <v>14553</v>
      </c>
      <c r="G381" s="46" t="s">
        <v>227</v>
      </c>
      <c r="H381" s="46">
        <v>901432582</v>
      </c>
      <c r="I381" s="160" t="s">
        <v>537</v>
      </c>
      <c r="J381" s="48">
        <v>45818</v>
      </c>
      <c r="K381" s="49">
        <v>15703</v>
      </c>
      <c r="L381" s="50" t="s">
        <v>578</v>
      </c>
      <c r="M381" s="48">
        <v>45819</v>
      </c>
      <c r="N381" s="75" t="s">
        <v>542</v>
      </c>
      <c r="R381" s="72"/>
      <c r="S381" s="48"/>
      <c r="U381" s="48"/>
      <c r="V381" s="48"/>
    </row>
    <row r="382" spans="1:22" hidden="1" x14ac:dyDescent="0.25">
      <c r="A382" s="152">
        <f t="shared" ref="A382:A390" si="20">+A381+1</f>
        <v>376</v>
      </c>
      <c r="B382" s="46" t="s">
        <v>767</v>
      </c>
      <c r="C382" s="46" t="str">
        <f>+IF(EstadoSolicitudes[[#This Row],[Aprobado OR]]="Aprobado",EstadoSolicitudes[[#This Row],[Aprobado OR]],
IF(EstadoSolicitudes[[#This Row],[Aprobado OR]]="Cancelado",EstadoSolicitudes[[#This Row],[Aprobado OR]],
IF(EstadoSolicitudes[[#This Row],[Cargue estudio al OR]]&gt;1,"Verificación Técnica",
IF(EstadoSolicitudes[[#This Row],[Fecha solicitud estudio]]&gt;1,"Estudio de conexión",
IF(EstadoSolicitudes[[#This Row],[Insumos revisados]]="No",IF(EstadoSolicitudes[[#This Row],[Fecha entrega insumos OR]]&gt;1,"Evolti","Espera de insumos"),
"Evolti")))))</f>
        <v>Evolti</v>
      </c>
      <c r="D382" s="46" t="s">
        <v>159</v>
      </c>
      <c r="E382" s="222" t="s">
        <v>728</v>
      </c>
      <c r="F382" s="222">
        <v>14553</v>
      </c>
      <c r="G382" s="46" t="s">
        <v>227</v>
      </c>
      <c r="H382" s="46">
        <v>901432582</v>
      </c>
      <c r="I382" s="78" t="s">
        <v>232</v>
      </c>
      <c r="J382" s="48">
        <v>45819</v>
      </c>
      <c r="K382" s="49">
        <v>15709</v>
      </c>
      <c r="L382" s="50" t="s">
        <v>434</v>
      </c>
      <c r="M382" s="48">
        <v>45819</v>
      </c>
      <c r="N382" s="75" t="s">
        <v>542</v>
      </c>
      <c r="R382" s="72"/>
      <c r="S382" s="48"/>
      <c r="U382" s="48"/>
      <c r="V382" s="48"/>
    </row>
    <row r="383" spans="1:22" hidden="1" x14ac:dyDescent="0.25">
      <c r="A383" s="152">
        <f t="shared" si="20"/>
        <v>377</v>
      </c>
      <c r="B383" s="46" t="s">
        <v>768</v>
      </c>
      <c r="C383" s="46" t="str">
        <f>+IF(EstadoSolicitudes[[#This Row],[Aprobado OR]]="Aprobado",EstadoSolicitudes[[#This Row],[Aprobado OR]],
IF(EstadoSolicitudes[[#This Row],[Aprobado OR]]="Cancelado",EstadoSolicitudes[[#This Row],[Aprobado OR]],
IF(EstadoSolicitudes[[#This Row],[Cargue estudio al OR]]&gt;1,"Verificación Técnica",
IF(EstadoSolicitudes[[#This Row],[Fecha solicitud estudio]]&gt;1,"Estudio de conexión",
IF(EstadoSolicitudes[[#This Row],[Insumos revisados]]="No",IF(EstadoSolicitudes[[#This Row],[Fecha entrega insumos OR]]&gt;1,"Evolti","Espera de insumos"),
"Evolti")))))</f>
        <v>Evolti</v>
      </c>
      <c r="D383" s="46" t="s">
        <v>159</v>
      </c>
      <c r="E383" s="222" t="s">
        <v>728</v>
      </c>
      <c r="F383" s="222">
        <v>14553</v>
      </c>
      <c r="G383" s="46" t="s">
        <v>227</v>
      </c>
      <c r="H383" s="46">
        <v>901432582</v>
      </c>
      <c r="I383" s="160" t="s">
        <v>267</v>
      </c>
      <c r="J383" s="48">
        <v>45819</v>
      </c>
      <c r="K383" s="49">
        <v>15711</v>
      </c>
      <c r="L383" s="50" t="s">
        <v>437</v>
      </c>
      <c r="M383" s="48">
        <v>45819</v>
      </c>
      <c r="N383" s="75" t="s">
        <v>542</v>
      </c>
      <c r="R383" s="72"/>
      <c r="S383" s="48"/>
      <c r="U383" s="48"/>
      <c r="V383" s="48"/>
    </row>
    <row r="384" spans="1:22" hidden="1" x14ac:dyDescent="0.25">
      <c r="A384" s="152">
        <f t="shared" si="20"/>
        <v>378</v>
      </c>
      <c r="B384" s="46" t="s">
        <v>769</v>
      </c>
      <c r="C384" s="46" t="str">
        <f>+IF(EstadoSolicitudes[[#This Row],[Aprobado OR]]="Aprobado",EstadoSolicitudes[[#This Row],[Aprobado OR]],
IF(EstadoSolicitudes[[#This Row],[Aprobado OR]]="Cancelado",EstadoSolicitudes[[#This Row],[Aprobado OR]],
IF(EstadoSolicitudes[[#This Row],[Cargue estudio al OR]]&gt;1,"Verificación Técnica",
IF(EstadoSolicitudes[[#This Row],[Fecha solicitud estudio]]&gt;1,"Estudio de conexión",
IF(EstadoSolicitudes[[#This Row],[Insumos revisados]]="No",IF(EstadoSolicitudes[[#This Row],[Fecha entrega insumos OR]]&gt;1,"Evolti","Espera de insumos"),
"Evolti")))))</f>
        <v>Evolti</v>
      </c>
      <c r="D384" s="46" t="s">
        <v>159</v>
      </c>
      <c r="E384" s="222" t="s">
        <v>728</v>
      </c>
      <c r="F384" s="222">
        <v>14553</v>
      </c>
      <c r="G384" s="46" t="s">
        <v>227</v>
      </c>
      <c r="H384" s="46">
        <v>901432582</v>
      </c>
      <c r="I384" s="160" t="s">
        <v>537</v>
      </c>
      <c r="J384" s="48">
        <v>45819</v>
      </c>
      <c r="K384" s="49">
        <v>15712</v>
      </c>
      <c r="L384" s="50" t="s">
        <v>578</v>
      </c>
      <c r="M384" s="48">
        <v>45819</v>
      </c>
      <c r="N384" s="75" t="s">
        <v>542</v>
      </c>
      <c r="R384" s="72"/>
      <c r="S384" s="48"/>
      <c r="U384" s="48"/>
      <c r="V384" s="48"/>
    </row>
    <row r="385" spans="1:22" hidden="1" x14ac:dyDescent="0.25">
      <c r="A385" s="152">
        <f t="shared" si="20"/>
        <v>379</v>
      </c>
      <c r="B385" s="46" t="s">
        <v>770</v>
      </c>
      <c r="C385" s="46" t="str">
        <f>+IF(EstadoSolicitudes[[#This Row],[Aprobado OR]]="Aprobado",EstadoSolicitudes[[#This Row],[Aprobado OR]],
IF(EstadoSolicitudes[[#This Row],[Aprobado OR]]="Cancelado",EstadoSolicitudes[[#This Row],[Aprobado OR]],
IF(EstadoSolicitudes[[#This Row],[Cargue estudio al OR]]&gt;1,"Verificación Técnica",
IF(EstadoSolicitudes[[#This Row],[Fecha solicitud estudio]]&gt;1,"Estudio de conexión",
IF(EstadoSolicitudes[[#This Row],[Insumos revisados]]="No",IF(EstadoSolicitudes[[#This Row],[Fecha entrega insumos OR]]&gt;1,"Evolti","Espera de insumos"),
"Evolti")))))</f>
        <v>Evolti</v>
      </c>
      <c r="D385" s="46" t="s">
        <v>161</v>
      </c>
      <c r="E385" s="152" t="s">
        <v>771</v>
      </c>
      <c r="F385" s="152">
        <v>68502</v>
      </c>
      <c r="G385" s="135" t="s">
        <v>227</v>
      </c>
      <c r="H385" s="46">
        <v>901432582</v>
      </c>
      <c r="I385" s="136" t="s">
        <v>232</v>
      </c>
      <c r="J385" s="48">
        <v>45819</v>
      </c>
      <c r="K385" s="49">
        <v>64657458</v>
      </c>
      <c r="L385" s="50" t="s">
        <v>1375</v>
      </c>
      <c r="M385" s="48">
        <v>45832</v>
      </c>
      <c r="N385" s="75" t="s">
        <v>542</v>
      </c>
      <c r="R385" s="72"/>
      <c r="S385" s="48"/>
      <c r="U385" s="48"/>
      <c r="V385" s="48"/>
    </row>
    <row r="386" spans="1:22" hidden="1" x14ac:dyDescent="0.25">
      <c r="A386" s="152">
        <f t="shared" si="20"/>
        <v>380</v>
      </c>
      <c r="B386" s="46" t="s">
        <v>772</v>
      </c>
      <c r="C386" s="46" t="str">
        <f>+IF(EstadoSolicitudes[[#This Row],[Aprobado OR]]="Aprobado",EstadoSolicitudes[[#This Row],[Aprobado OR]],
IF(EstadoSolicitudes[[#This Row],[Aprobado OR]]="Cancelado",EstadoSolicitudes[[#This Row],[Aprobado OR]],
IF(EstadoSolicitudes[[#This Row],[Cargue estudio al OR]]&gt;1,"Verificación Técnica",
IF(EstadoSolicitudes[[#This Row],[Fecha solicitud estudio]]&gt;1,"Estudio de conexión",
IF(EstadoSolicitudes[[#This Row],[Insumos revisados]]="No",IF(EstadoSolicitudes[[#This Row],[Fecha entrega insumos OR]]&gt;1,"Evolti","Espera de insumos"),
"Evolti")))))</f>
        <v>Evolti</v>
      </c>
      <c r="D386" s="46" t="s">
        <v>161</v>
      </c>
      <c r="E386" s="152" t="s">
        <v>771</v>
      </c>
      <c r="F386" s="152">
        <v>68502</v>
      </c>
      <c r="G386" s="135" t="s">
        <v>227</v>
      </c>
      <c r="H386" s="46">
        <v>901432582</v>
      </c>
      <c r="I386" s="136" t="s">
        <v>232</v>
      </c>
      <c r="J386" s="48">
        <v>45819</v>
      </c>
      <c r="K386" s="49">
        <v>64657560</v>
      </c>
      <c r="L386" s="50">
        <v>1803225</v>
      </c>
      <c r="M386" s="48">
        <v>45832</v>
      </c>
      <c r="N386" s="75" t="s">
        <v>534</v>
      </c>
      <c r="R386" s="72"/>
      <c r="S386" s="48"/>
      <c r="U386" s="48"/>
      <c r="V386" s="48"/>
    </row>
    <row r="387" spans="1:22" hidden="1" x14ac:dyDescent="0.25">
      <c r="A387" s="152">
        <f t="shared" si="20"/>
        <v>381</v>
      </c>
      <c r="B387" s="46" t="s">
        <v>773</v>
      </c>
      <c r="C387" s="46" t="str">
        <f>+IF(EstadoSolicitudes[[#This Row],[Aprobado OR]]="Aprobado",EstadoSolicitudes[[#This Row],[Aprobado OR]],
IF(EstadoSolicitudes[[#This Row],[Aprobado OR]]="Cancelado",EstadoSolicitudes[[#This Row],[Aprobado OR]],
IF(EstadoSolicitudes[[#This Row],[Cargue estudio al OR]]&gt;1,"Verificación Técnica",
IF(EstadoSolicitudes[[#This Row],[Fecha solicitud estudio]]&gt;1,"Estudio de conexión",
IF(EstadoSolicitudes[[#This Row],[Insumos revisados]]="No",IF(EstadoSolicitudes[[#This Row],[Fecha entrega insumos OR]]&gt;1,"Evolti","Espera de insumos"),
"Evolti")))))</f>
        <v>Evolti</v>
      </c>
      <c r="D387" s="46" t="s">
        <v>161</v>
      </c>
      <c r="E387" s="152" t="s">
        <v>771</v>
      </c>
      <c r="F387" s="152">
        <v>68502</v>
      </c>
      <c r="G387" s="135" t="s">
        <v>227</v>
      </c>
      <c r="H387" s="46">
        <v>901432582</v>
      </c>
      <c r="I387" s="136" t="s">
        <v>232</v>
      </c>
      <c r="J387" s="48">
        <v>45819</v>
      </c>
      <c r="K387" s="49">
        <v>64657869</v>
      </c>
      <c r="L387" s="50">
        <v>1803226</v>
      </c>
      <c r="M387" s="48">
        <v>45832</v>
      </c>
      <c r="N387" s="75" t="s">
        <v>542</v>
      </c>
      <c r="R387" s="72"/>
      <c r="S387" s="48"/>
      <c r="U387" s="48"/>
      <c r="V387" s="48"/>
    </row>
    <row r="388" spans="1:22" hidden="1" x14ac:dyDescent="0.25">
      <c r="A388" s="152">
        <f t="shared" si="20"/>
        <v>382</v>
      </c>
      <c r="B388" s="46" t="s">
        <v>774</v>
      </c>
      <c r="C388" s="46" t="str">
        <f>+IF(EstadoSolicitudes[[#This Row],[Aprobado OR]]="Aprobado",EstadoSolicitudes[[#This Row],[Aprobado OR]],
IF(EstadoSolicitudes[[#This Row],[Aprobado OR]]="Cancelado",EstadoSolicitudes[[#This Row],[Aprobado OR]],
IF(EstadoSolicitudes[[#This Row],[Cargue estudio al OR]]&gt;1,"Verificación Técnica",
IF(EstadoSolicitudes[[#This Row],[Fecha solicitud estudio]]&gt;1,"Estudio de conexión",
IF(EstadoSolicitudes[[#This Row],[Insumos revisados]]="No",IF(EstadoSolicitudes[[#This Row],[Fecha entrega insumos OR]]&gt;1,"Evolti","Espera de insumos"),
"Evolti")))))</f>
        <v>Evolti</v>
      </c>
      <c r="D388" s="46" t="s">
        <v>702</v>
      </c>
      <c r="G388" s="135" t="s">
        <v>227</v>
      </c>
      <c r="H388" s="46">
        <v>901432582</v>
      </c>
      <c r="I388" s="160" t="s">
        <v>232</v>
      </c>
      <c r="J388" s="48">
        <v>45819</v>
      </c>
      <c r="K388" s="49">
        <v>4927</v>
      </c>
      <c r="L388" s="50" t="s">
        <v>732</v>
      </c>
      <c r="R388" s="72"/>
      <c r="S388" s="48"/>
      <c r="U388" s="48"/>
      <c r="V388" s="48"/>
    </row>
    <row r="389" spans="1:22" hidden="1" x14ac:dyDescent="0.25">
      <c r="A389" s="152">
        <f t="shared" si="20"/>
        <v>383</v>
      </c>
      <c r="B389" s="46" t="s">
        <v>775</v>
      </c>
      <c r="C389" s="46" t="str">
        <f>+IF(EstadoSolicitudes[[#This Row],[Aprobado OR]]="Aprobado",EstadoSolicitudes[[#This Row],[Aprobado OR]],
IF(EstadoSolicitudes[[#This Row],[Aprobado OR]]="Cancelado",EstadoSolicitudes[[#This Row],[Aprobado OR]],
IF(EstadoSolicitudes[[#This Row],[Cargue estudio al OR]]&gt;1,"Verificación Técnica",
IF(EstadoSolicitudes[[#This Row],[Fecha solicitud estudio]]&gt;1,"Estudio de conexión",
IF(EstadoSolicitudes[[#This Row],[Insumos revisados]]="No",IF(EstadoSolicitudes[[#This Row],[Fecha entrega insumos OR]]&gt;1,"Evolti","Espera de insumos"),
"Evolti")))))</f>
        <v>Evolti</v>
      </c>
      <c r="D389" s="46" t="s">
        <v>702</v>
      </c>
      <c r="G389" s="135" t="s">
        <v>227</v>
      </c>
      <c r="H389" s="46">
        <v>901432582</v>
      </c>
      <c r="I389" s="160" t="s">
        <v>267</v>
      </c>
      <c r="J389" s="48">
        <v>45819</v>
      </c>
      <c r="K389" s="49">
        <v>4928</v>
      </c>
      <c r="L389" s="50" t="s">
        <v>736</v>
      </c>
      <c r="R389" s="72"/>
      <c r="S389" s="48"/>
      <c r="U389" s="48"/>
      <c r="V389" s="48"/>
    </row>
    <row r="390" spans="1:22" hidden="1" x14ac:dyDescent="0.25">
      <c r="A390" s="152">
        <f t="shared" si="20"/>
        <v>384</v>
      </c>
      <c r="B390" s="46" t="s">
        <v>776</v>
      </c>
      <c r="C390" s="46" t="str">
        <f>+IF(EstadoSolicitudes[[#This Row],[Aprobado OR]]="Aprobado",EstadoSolicitudes[[#This Row],[Aprobado OR]],
IF(EstadoSolicitudes[[#This Row],[Aprobado OR]]="Cancelado",EstadoSolicitudes[[#This Row],[Aprobado OR]],
IF(EstadoSolicitudes[[#This Row],[Cargue estudio al OR]]&gt;1,"Verificación Técnica",
IF(EstadoSolicitudes[[#This Row],[Fecha solicitud estudio]]&gt;1,"Estudio de conexión",
IF(EstadoSolicitudes[[#This Row],[Insumos revisados]]="No",IF(EstadoSolicitudes[[#This Row],[Fecha entrega insumos OR]]&gt;1,"Evolti","Espera de insumos"),
"Evolti")))))</f>
        <v>Evolti</v>
      </c>
      <c r="D390" s="46" t="s">
        <v>702</v>
      </c>
      <c r="G390" s="135" t="s">
        <v>227</v>
      </c>
      <c r="H390" s="46">
        <v>901432582</v>
      </c>
      <c r="I390" s="160" t="s">
        <v>662</v>
      </c>
      <c r="J390" s="48">
        <v>45819</v>
      </c>
      <c r="K390" s="49">
        <v>4929</v>
      </c>
      <c r="L390" s="50" t="s">
        <v>777</v>
      </c>
      <c r="R390" s="72"/>
      <c r="S390" s="48"/>
      <c r="U390" s="48"/>
      <c r="V390" s="48"/>
    </row>
    <row r="391" spans="1:22" hidden="1" x14ac:dyDescent="0.25">
      <c r="A391" s="152">
        <f t="shared" ref="A391:A397" si="21">+A390+1</f>
        <v>385</v>
      </c>
      <c r="B391" s="46" t="s">
        <v>778</v>
      </c>
      <c r="C391" s="46" t="str">
        <f>+IF(EstadoSolicitudes[[#This Row],[Aprobado OR]]="Aprobado",EstadoSolicitudes[[#This Row],[Aprobado OR]],
IF(EstadoSolicitudes[[#This Row],[Aprobado OR]]="Cancelado",EstadoSolicitudes[[#This Row],[Aprobado OR]],
IF(EstadoSolicitudes[[#This Row],[Cargue estudio al OR]]&gt;1,"Verificación Técnica",
IF(EstadoSolicitudes[[#This Row],[Fecha solicitud estudio]]&gt;1,"Estudio de conexión",
IF(EstadoSolicitudes[[#This Row],[Insumos revisados]]="No",IF(EstadoSolicitudes[[#This Row],[Fecha entrega insumos OR]]&gt;1,"Evolti","Espera de insumos"),
"Evolti")))))</f>
        <v>Evolti</v>
      </c>
      <c r="D391" s="46" t="s">
        <v>159</v>
      </c>
      <c r="E391" s="222" t="s">
        <v>433</v>
      </c>
      <c r="F391" s="222">
        <v>14695</v>
      </c>
      <c r="G391" s="135" t="s">
        <v>227</v>
      </c>
      <c r="H391" s="46">
        <v>901432582</v>
      </c>
      <c r="I391" s="160" t="s">
        <v>232</v>
      </c>
      <c r="J391" s="48">
        <v>45819</v>
      </c>
      <c r="K391" s="49">
        <v>15719</v>
      </c>
      <c r="L391" s="50" t="s">
        <v>434</v>
      </c>
      <c r="M391" s="48">
        <v>45820</v>
      </c>
      <c r="N391" s="75" t="s">
        <v>542</v>
      </c>
      <c r="R391" s="72"/>
      <c r="S391" s="48"/>
      <c r="U391" s="48"/>
      <c r="V391" s="48"/>
    </row>
    <row r="392" spans="1:22" hidden="1" x14ac:dyDescent="0.25">
      <c r="A392" s="152">
        <f t="shared" si="21"/>
        <v>386</v>
      </c>
      <c r="B392" s="46" t="s">
        <v>779</v>
      </c>
      <c r="C392" s="46" t="str">
        <f>+IF(EstadoSolicitudes[[#This Row],[Aprobado OR]]="Aprobado",EstadoSolicitudes[[#This Row],[Aprobado OR]],
IF(EstadoSolicitudes[[#This Row],[Aprobado OR]]="Cancelado",EstadoSolicitudes[[#This Row],[Aprobado OR]],
IF(EstadoSolicitudes[[#This Row],[Cargue estudio al OR]]&gt;1,"Verificación Técnica",
IF(EstadoSolicitudes[[#This Row],[Fecha solicitud estudio]]&gt;1,"Estudio de conexión",
IF(EstadoSolicitudes[[#This Row],[Insumos revisados]]="No",IF(EstadoSolicitudes[[#This Row],[Fecha entrega insumos OR]]&gt;1,"Evolti","Espera de insumos"),
"Evolti")))))</f>
        <v>Espera de insumos</v>
      </c>
      <c r="D392" s="46" t="s">
        <v>159</v>
      </c>
      <c r="E392" s="222" t="s">
        <v>433</v>
      </c>
      <c r="F392" s="222">
        <v>14695</v>
      </c>
      <c r="G392" s="135" t="s">
        <v>227</v>
      </c>
      <c r="H392" s="46">
        <v>901432582</v>
      </c>
      <c r="I392" s="160" t="s">
        <v>267</v>
      </c>
      <c r="J392" s="48">
        <v>45819</v>
      </c>
      <c r="K392" s="49">
        <v>15720</v>
      </c>
      <c r="L392" s="50" t="s">
        <v>437</v>
      </c>
      <c r="N392" s="75" t="s">
        <v>229</v>
      </c>
      <c r="R392" s="72"/>
      <c r="S392" s="48"/>
      <c r="U392" s="48"/>
      <c r="V392" s="48"/>
    </row>
    <row r="393" spans="1:22" hidden="1" x14ac:dyDescent="0.25">
      <c r="A393" s="152">
        <f t="shared" si="21"/>
        <v>387</v>
      </c>
      <c r="B393" s="46" t="s">
        <v>780</v>
      </c>
      <c r="C393" s="46" t="str">
        <f>+IF(EstadoSolicitudes[[#This Row],[Aprobado OR]]="Aprobado",EstadoSolicitudes[[#This Row],[Aprobado OR]],
IF(EstadoSolicitudes[[#This Row],[Aprobado OR]]="Cancelado",EstadoSolicitudes[[#This Row],[Aprobado OR]],
IF(EstadoSolicitudes[[#This Row],[Cargue estudio al OR]]&gt;1,"Verificación Técnica",
IF(EstadoSolicitudes[[#This Row],[Fecha solicitud estudio]]&gt;1,"Estudio de conexión",
IF(EstadoSolicitudes[[#This Row],[Insumos revisados]]="No",IF(EstadoSolicitudes[[#This Row],[Fecha entrega insumos OR]]&gt;1,"Evolti","Espera de insumos"),
"Evolti")))))</f>
        <v>Espera de insumos</v>
      </c>
      <c r="D393" s="46" t="s">
        <v>159</v>
      </c>
      <c r="E393" s="222" t="s">
        <v>433</v>
      </c>
      <c r="F393" s="222">
        <v>14695</v>
      </c>
      <c r="G393" s="135" t="s">
        <v>227</v>
      </c>
      <c r="H393" s="46">
        <v>901432582</v>
      </c>
      <c r="I393" s="160" t="s">
        <v>529</v>
      </c>
      <c r="J393" s="48">
        <v>45819</v>
      </c>
      <c r="K393" s="49">
        <v>15721</v>
      </c>
      <c r="L393" s="50" t="s">
        <v>781</v>
      </c>
      <c r="N393" s="75" t="s">
        <v>229</v>
      </c>
      <c r="R393" s="72"/>
      <c r="S393" s="48"/>
      <c r="U393" s="48"/>
      <c r="V393" s="48"/>
    </row>
    <row r="394" spans="1:22" hidden="1" x14ac:dyDescent="0.25">
      <c r="A394" s="152">
        <f t="shared" si="21"/>
        <v>388</v>
      </c>
      <c r="B394" s="46" t="s">
        <v>782</v>
      </c>
      <c r="C394" s="46" t="str">
        <f>+IF(EstadoSolicitudes[[#This Row],[Aprobado OR]]="Aprobado",EstadoSolicitudes[[#This Row],[Aprobado OR]],
IF(EstadoSolicitudes[[#This Row],[Aprobado OR]]="Cancelado",EstadoSolicitudes[[#This Row],[Aprobado OR]],
IF(EstadoSolicitudes[[#This Row],[Cargue estudio al OR]]&gt;1,"Verificación Técnica",
IF(EstadoSolicitudes[[#This Row],[Fecha solicitud estudio]]&gt;1,"Estudio de conexión",
IF(EstadoSolicitudes[[#This Row],[Insumos revisados]]="No",IF(EstadoSolicitudes[[#This Row],[Fecha entrega insumos OR]]&gt;1,"Evolti","Espera de insumos"),
"Evolti")))))</f>
        <v>Evolti</v>
      </c>
      <c r="D394" s="46" t="s">
        <v>153</v>
      </c>
      <c r="E394" s="222" t="s">
        <v>783</v>
      </c>
      <c r="F394" s="222" t="s">
        <v>784</v>
      </c>
      <c r="G394" s="135" t="s">
        <v>227</v>
      </c>
      <c r="H394" s="46">
        <v>901432582</v>
      </c>
      <c r="I394" s="160" t="s">
        <v>232</v>
      </c>
      <c r="J394" s="48">
        <v>45820</v>
      </c>
      <c r="K394" s="49">
        <v>4361</v>
      </c>
      <c r="L394" s="50" t="s">
        <v>241</v>
      </c>
      <c r="M394" s="48">
        <v>45827</v>
      </c>
      <c r="N394" s="75" t="s">
        <v>542</v>
      </c>
      <c r="R394" s="72"/>
      <c r="S394" s="48"/>
      <c r="U394" s="48"/>
      <c r="V394" s="48"/>
    </row>
    <row r="395" spans="1:22" hidden="1" x14ac:dyDescent="0.25">
      <c r="A395" s="152">
        <f t="shared" si="21"/>
        <v>389</v>
      </c>
      <c r="B395" s="46" t="s">
        <v>785</v>
      </c>
      <c r="C395" s="46" t="str">
        <f>+IF(EstadoSolicitudes[[#This Row],[Aprobado OR]]="Aprobado",EstadoSolicitudes[[#This Row],[Aprobado OR]],
IF(EstadoSolicitudes[[#This Row],[Aprobado OR]]="Cancelado",EstadoSolicitudes[[#This Row],[Aprobado OR]],
IF(EstadoSolicitudes[[#This Row],[Cargue estudio al OR]]&gt;1,"Verificación Técnica",
IF(EstadoSolicitudes[[#This Row],[Fecha solicitud estudio]]&gt;1,"Estudio de conexión",
IF(EstadoSolicitudes[[#This Row],[Insumos revisados]]="No",IF(EstadoSolicitudes[[#This Row],[Fecha entrega insumos OR]]&gt;1,"Evolti","Espera de insumos"),
"Evolti")))))</f>
        <v>Evolti</v>
      </c>
      <c r="D395" s="46" t="s">
        <v>153</v>
      </c>
      <c r="E395" s="222" t="s">
        <v>783</v>
      </c>
      <c r="F395" s="222" t="s">
        <v>784</v>
      </c>
      <c r="G395" s="135" t="s">
        <v>227</v>
      </c>
      <c r="H395" s="46">
        <v>901432582</v>
      </c>
      <c r="I395" s="160" t="s">
        <v>267</v>
      </c>
      <c r="J395" s="48">
        <v>45820</v>
      </c>
      <c r="K395" s="49">
        <v>4362</v>
      </c>
      <c r="L395" s="50" t="s">
        <v>268</v>
      </c>
      <c r="M395" s="48">
        <v>45827</v>
      </c>
      <c r="N395" s="75" t="s">
        <v>542</v>
      </c>
      <c r="R395" s="72"/>
      <c r="S395" s="48"/>
      <c r="U395" s="48"/>
      <c r="V395" s="48"/>
    </row>
    <row r="396" spans="1:22" hidden="1" x14ac:dyDescent="0.25">
      <c r="A396" s="152">
        <f t="shared" si="21"/>
        <v>390</v>
      </c>
      <c r="B396" s="46" t="s">
        <v>786</v>
      </c>
      <c r="C396" s="46" t="str">
        <f>+IF(EstadoSolicitudes[[#This Row],[Aprobado OR]]="Aprobado",EstadoSolicitudes[[#This Row],[Aprobado OR]],
IF(EstadoSolicitudes[[#This Row],[Aprobado OR]]="Cancelado",EstadoSolicitudes[[#This Row],[Aprobado OR]],
IF(EstadoSolicitudes[[#This Row],[Cargue estudio al OR]]&gt;1,"Verificación Técnica",
IF(EstadoSolicitudes[[#This Row],[Fecha solicitud estudio]]&gt;1,"Estudio de conexión",
IF(EstadoSolicitudes[[#This Row],[Insumos revisados]]="No",IF(EstadoSolicitudes[[#This Row],[Fecha entrega insumos OR]]&gt;1,"Evolti","Espera de insumos"),
"Evolti")))))</f>
        <v>Evolti</v>
      </c>
      <c r="D396" s="46" t="s">
        <v>153</v>
      </c>
      <c r="E396" s="222" t="s">
        <v>783</v>
      </c>
      <c r="F396" s="222" t="s">
        <v>784</v>
      </c>
      <c r="G396" s="135" t="s">
        <v>227</v>
      </c>
      <c r="H396" s="46">
        <v>901432582</v>
      </c>
      <c r="I396" s="160" t="s">
        <v>671</v>
      </c>
      <c r="J396" s="48">
        <v>45820</v>
      </c>
      <c r="K396" s="49">
        <v>4363</v>
      </c>
      <c r="L396" s="50" t="s">
        <v>787</v>
      </c>
      <c r="M396" s="48">
        <v>45827</v>
      </c>
      <c r="N396" s="75" t="s">
        <v>542</v>
      </c>
      <c r="R396" s="72"/>
      <c r="S396" s="48"/>
      <c r="U396" s="48"/>
      <c r="V396" s="48"/>
    </row>
    <row r="397" spans="1:22" hidden="1" x14ac:dyDescent="0.25">
      <c r="A397" s="152">
        <f t="shared" si="21"/>
        <v>391</v>
      </c>
      <c r="B397" s="46" t="s">
        <v>788</v>
      </c>
      <c r="C397" s="46" t="str">
        <f>+IF(EstadoSolicitudes[[#This Row],[Aprobado OR]]="Aprobado",EstadoSolicitudes[[#This Row],[Aprobado OR]],
IF(EstadoSolicitudes[[#This Row],[Aprobado OR]]="Cancelado",EstadoSolicitudes[[#This Row],[Aprobado OR]],
IF(EstadoSolicitudes[[#This Row],[Cargue estudio al OR]]&gt;1,"Verificación Técnica",
IF(EstadoSolicitudes[[#This Row],[Fecha solicitud estudio]]&gt;1,"Estudio de conexión",
IF(EstadoSolicitudes[[#This Row],[Insumos revisados]]="No",IF(EstadoSolicitudes[[#This Row],[Fecha entrega insumos OR]]&gt;1,"Evolti","Espera de insumos"),
"Evolti")))))</f>
        <v>Espera de insumos</v>
      </c>
      <c r="D397" s="46" t="s">
        <v>153</v>
      </c>
      <c r="G397" s="135" t="s">
        <v>227</v>
      </c>
      <c r="H397" s="46">
        <v>901432582</v>
      </c>
      <c r="I397" s="160" t="s">
        <v>232</v>
      </c>
      <c r="J397" s="48">
        <v>45821</v>
      </c>
      <c r="K397">
        <v>4367</v>
      </c>
      <c r="L397">
        <v>254140</v>
      </c>
      <c r="N397" s="75" t="s">
        <v>229</v>
      </c>
      <c r="R397" s="72"/>
      <c r="S397" s="48"/>
      <c r="U397" s="48"/>
      <c r="V397" s="48"/>
    </row>
    <row r="398" spans="1:22" hidden="1" x14ac:dyDescent="0.25">
      <c r="A398" s="152">
        <f t="shared" ref="A398:A399" si="22">+A397+1</f>
        <v>392</v>
      </c>
      <c r="B398" s="46" t="s">
        <v>789</v>
      </c>
      <c r="C398" s="46" t="str">
        <f>+IF(EstadoSolicitudes[[#This Row],[Aprobado OR]]="Aprobado",EstadoSolicitudes[[#This Row],[Aprobado OR]],
IF(EstadoSolicitudes[[#This Row],[Aprobado OR]]="Cancelado",EstadoSolicitudes[[#This Row],[Aprobado OR]],
IF(EstadoSolicitudes[[#This Row],[Cargue estudio al OR]]&gt;1,"Verificación Técnica",
IF(EstadoSolicitudes[[#This Row],[Fecha solicitud estudio]]&gt;1,"Estudio de conexión",
IF(EstadoSolicitudes[[#This Row],[Insumos revisados]]="No",IF(EstadoSolicitudes[[#This Row],[Fecha entrega insumos OR]]&gt;1,"Evolti","Espera de insumos"),
"Evolti")))))</f>
        <v>Espera de insumos</v>
      </c>
      <c r="D398" s="46" t="s">
        <v>153</v>
      </c>
      <c r="G398" s="135" t="s">
        <v>227</v>
      </c>
      <c r="H398" s="46">
        <v>901432582</v>
      </c>
      <c r="I398" s="160" t="s">
        <v>267</v>
      </c>
      <c r="J398" s="48">
        <v>45821</v>
      </c>
      <c r="K398">
        <v>4368</v>
      </c>
      <c r="L398">
        <v>1286176</v>
      </c>
      <c r="N398" s="75" t="s">
        <v>229</v>
      </c>
      <c r="R398" s="72"/>
      <c r="S398" s="48"/>
      <c r="U398" s="48"/>
      <c r="V398" s="48"/>
    </row>
    <row r="399" spans="1:22" hidden="1" x14ac:dyDescent="0.25">
      <c r="A399" s="152">
        <f t="shared" si="22"/>
        <v>393</v>
      </c>
      <c r="B399" s="46" t="s">
        <v>790</v>
      </c>
      <c r="C399" s="46" t="str">
        <f>+IF(EstadoSolicitudes[[#This Row],[Aprobado OR]]="Aprobado",EstadoSolicitudes[[#This Row],[Aprobado OR]],
IF(EstadoSolicitudes[[#This Row],[Aprobado OR]]="Cancelado",EstadoSolicitudes[[#This Row],[Aprobado OR]],
IF(EstadoSolicitudes[[#This Row],[Cargue estudio al OR]]&gt;1,"Verificación Técnica",
IF(EstadoSolicitudes[[#This Row],[Fecha solicitud estudio]]&gt;1,"Estudio de conexión",
IF(EstadoSolicitudes[[#This Row],[Insumos revisados]]="No",IF(EstadoSolicitudes[[#This Row],[Fecha entrega insumos OR]]&gt;1,"Evolti","Espera de insumos"),
"Evolti")))))</f>
        <v>Espera de insumos</v>
      </c>
      <c r="D399" s="46" t="s">
        <v>153</v>
      </c>
      <c r="G399" s="135" t="s">
        <v>227</v>
      </c>
      <c r="H399" s="46">
        <v>901432582</v>
      </c>
      <c r="I399" s="160" t="s">
        <v>662</v>
      </c>
      <c r="J399" s="48">
        <v>45821</v>
      </c>
      <c r="K399">
        <v>4369</v>
      </c>
      <c r="L399">
        <v>2428309</v>
      </c>
      <c r="N399" s="75" t="s">
        <v>229</v>
      </c>
      <c r="R399" s="72"/>
      <c r="S399" s="48"/>
      <c r="U399" s="48"/>
      <c r="V399" s="48"/>
    </row>
    <row r="400" spans="1:22" hidden="1" x14ac:dyDescent="0.25">
      <c r="A400" s="152">
        <f t="shared" ref="A400:A403" si="23">+A399+1</f>
        <v>394</v>
      </c>
      <c r="B400" s="46" t="s">
        <v>791</v>
      </c>
      <c r="C400" s="46" t="str">
        <f>+IF(EstadoSolicitudes[[#This Row],[Aprobado OR]]="Aprobado",EstadoSolicitudes[[#This Row],[Aprobado OR]],
IF(EstadoSolicitudes[[#This Row],[Aprobado OR]]="Cancelado",EstadoSolicitudes[[#This Row],[Aprobado OR]],
IF(EstadoSolicitudes[[#This Row],[Cargue estudio al OR]]&gt;1,"Verificación Técnica",
IF(EstadoSolicitudes[[#This Row],[Fecha solicitud estudio]]&gt;1,"Estudio de conexión",
IF(EstadoSolicitudes[[#This Row],[Insumos revisados]]="No",IF(EstadoSolicitudes[[#This Row],[Fecha entrega insumos OR]]&gt;1,"Evolti","Espera de insumos"),
"Evolti")))))</f>
        <v>Espera de insumos</v>
      </c>
      <c r="D400" s="46" t="s">
        <v>151</v>
      </c>
      <c r="E400" s="152" t="s">
        <v>792</v>
      </c>
      <c r="F400" s="152" t="s">
        <v>793</v>
      </c>
      <c r="G400" s="135" t="s">
        <v>227</v>
      </c>
      <c r="H400" s="46">
        <v>901432582</v>
      </c>
      <c r="I400" s="160" t="s">
        <v>671</v>
      </c>
      <c r="J400" s="48">
        <v>45828</v>
      </c>
      <c r="K400" s="49"/>
      <c r="L400" s="50"/>
      <c r="N400" s="75" t="s">
        <v>229</v>
      </c>
      <c r="R400" s="72"/>
      <c r="S400" s="48"/>
      <c r="U400" s="48"/>
      <c r="V400" s="48"/>
    </row>
    <row r="401" spans="1:22" hidden="1" x14ac:dyDescent="0.25">
      <c r="A401" s="152">
        <f t="shared" si="23"/>
        <v>395</v>
      </c>
      <c r="B401" s="46" t="s">
        <v>794</v>
      </c>
      <c r="C401" s="46" t="str">
        <f>+IF(EstadoSolicitudes[[#This Row],[Aprobado OR]]="Aprobado",EstadoSolicitudes[[#This Row],[Aprobado OR]],
IF(EstadoSolicitudes[[#This Row],[Aprobado OR]]="Cancelado",EstadoSolicitudes[[#This Row],[Aprobado OR]],
IF(EstadoSolicitudes[[#This Row],[Cargue estudio al OR]]&gt;1,"Verificación Técnica",
IF(EstadoSolicitudes[[#This Row],[Fecha solicitud estudio]]&gt;1,"Estudio de conexión",
IF(EstadoSolicitudes[[#This Row],[Insumos revisados]]="No",IF(EstadoSolicitudes[[#This Row],[Fecha entrega insumos OR]]&gt;1,"Evolti","Espera de insumos"),
"Evolti")))))</f>
        <v>Espera de insumos</v>
      </c>
      <c r="D401" s="46" t="s">
        <v>151</v>
      </c>
      <c r="E401" s="152" t="s">
        <v>792</v>
      </c>
      <c r="F401" s="152" t="s">
        <v>793</v>
      </c>
      <c r="G401" s="135" t="s">
        <v>227</v>
      </c>
      <c r="H401" s="46">
        <v>901432582</v>
      </c>
      <c r="I401" s="160" t="s">
        <v>671</v>
      </c>
      <c r="J401" s="48">
        <v>45828</v>
      </c>
      <c r="K401" s="49"/>
      <c r="L401" s="50"/>
      <c r="N401" s="75" t="s">
        <v>229</v>
      </c>
      <c r="R401" s="72"/>
      <c r="S401" s="48"/>
      <c r="U401" s="48"/>
      <c r="V401" s="48"/>
    </row>
    <row r="402" spans="1:22" hidden="1" x14ac:dyDescent="0.25">
      <c r="A402" s="152">
        <f t="shared" si="23"/>
        <v>396</v>
      </c>
      <c r="B402" s="46" t="s">
        <v>795</v>
      </c>
      <c r="C402" s="46" t="str">
        <f>+IF(EstadoSolicitudes[[#This Row],[Aprobado OR]]="Aprobado",EstadoSolicitudes[[#This Row],[Aprobado OR]],
IF(EstadoSolicitudes[[#This Row],[Aprobado OR]]="Cancelado",EstadoSolicitudes[[#This Row],[Aprobado OR]],
IF(EstadoSolicitudes[[#This Row],[Cargue estudio al OR]]&gt;1,"Verificación Técnica",
IF(EstadoSolicitudes[[#This Row],[Fecha solicitud estudio]]&gt;1,"Estudio de conexión",
IF(EstadoSolicitudes[[#This Row],[Insumos revisados]]="No",IF(EstadoSolicitudes[[#This Row],[Fecha entrega insumos OR]]&gt;1,"Evolti","Espera de insumos"),
"Evolti")))))</f>
        <v>Espera de insumos</v>
      </c>
      <c r="D402" s="46" t="s">
        <v>151</v>
      </c>
      <c r="E402" s="152" t="s">
        <v>792</v>
      </c>
      <c r="F402" s="152" t="s">
        <v>793</v>
      </c>
      <c r="G402" s="135" t="s">
        <v>227</v>
      </c>
      <c r="H402" s="46">
        <v>901432582</v>
      </c>
      <c r="I402" s="160" t="s">
        <v>671</v>
      </c>
      <c r="J402" s="48">
        <v>45828</v>
      </c>
      <c r="K402" s="49"/>
      <c r="L402" s="50"/>
      <c r="N402" s="75" t="s">
        <v>229</v>
      </c>
      <c r="R402" s="72"/>
      <c r="S402" s="48"/>
      <c r="U402" s="48"/>
      <c r="V402" s="48"/>
    </row>
    <row r="403" spans="1:22" hidden="1" x14ac:dyDescent="0.25">
      <c r="A403" s="152">
        <f t="shared" si="23"/>
        <v>397</v>
      </c>
      <c r="B403" s="46" t="s">
        <v>796</v>
      </c>
      <c r="C403" s="46" t="str">
        <f>+IF(EstadoSolicitudes[[#This Row],[Aprobado OR]]="Aprobado",EstadoSolicitudes[[#This Row],[Aprobado OR]],
IF(EstadoSolicitudes[[#This Row],[Aprobado OR]]="Cancelado",EstadoSolicitudes[[#This Row],[Aprobado OR]],
IF(EstadoSolicitudes[[#This Row],[Cargue estudio al OR]]&gt;1,"Verificación Técnica",
IF(EstadoSolicitudes[[#This Row],[Fecha solicitud estudio]]&gt;1,"Estudio de conexión",
IF(EstadoSolicitudes[[#This Row],[Insumos revisados]]="No",IF(EstadoSolicitudes[[#This Row],[Fecha entrega insumos OR]]&gt;1,"Evolti","Espera de insumos"),
"Evolti")))))</f>
        <v>Espera de insumos</v>
      </c>
      <c r="D403" s="46" t="s">
        <v>151</v>
      </c>
      <c r="G403" s="135" t="s">
        <v>227</v>
      </c>
      <c r="H403" s="46">
        <v>901432582</v>
      </c>
      <c r="I403" s="160" t="s">
        <v>537</v>
      </c>
      <c r="J403" s="48">
        <v>45832</v>
      </c>
      <c r="K403" s="49"/>
      <c r="L403" s="50"/>
      <c r="N403" s="75" t="s">
        <v>229</v>
      </c>
      <c r="R403" s="72"/>
      <c r="S403" s="48"/>
      <c r="U403" s="48"/>
      <c r="V403" s="48"/>
    </row>
    <row r="404" spans="1:22" hidden="1" x14ac:dyDescent="0.25">
      <c r="A404" s="152">
        <f t="shared" ref="A404:A435" si="24">+A403+1</f>
        <v>398</v>
      </c>
      <c r="B404" s="46" t="s">
        <v>797</v>
      </c>
      <c r="C404" s="46" t="str">
        <f>+IF(EstadoSolicitudes[[#This Row],[Aprobado OR]]="Aprobado",EstadoSolicitudes[[#This Row],[Aprobado OR]],
IF(EstadoSolicitudes[[#This Row],[Aprobado OR]]="Cancelado",EstadoSolicitudes[[#This Row],[Aprobado OR]],
IF(EstadoSolicitudes[[#This Row],[Cargue estudio al OR]]&gt;1,"Verificación Técnica",
IF(EstadoSolicitudes[[#This Row],[Fecha solicitud estudio]]&gt;1,"Estudio de conexión",
IF(EstadoSolicitudes[[#This Row],[Insumos revisados]]="No",IF(EstadoSolicitudes[[#This Row],[Fecha entrega insumos OR]]&gt;1,"Evolti","Espera de insumos"),
"Evolti")))))</f>
        <v>Espera de insumos</v>
      </c>
      <c r="D404" s="46" t="s">
        <v>151</v>
      </c>
      <c r="G404" s="135" t="s">
        <v>227</v>
      </c>
      <c r="H404" s="46">
        <v>901432582</v>
      </c>
      <c r="I404" s="160" t="s">
        <v>537</v>
      </c>
      <c r="J404" s="48">
        <v>45832</v>
      </c>
      <c r="K404" s="49"/>
      <c r="L404" s="50"/>
      <c r="N404" s="75" t="s">
        <v>229</v>
      </c>
      <c r="R404" s="72"/>
      <c r="S404" s="48"/>
      <c r="U404" s="48"/>
      <c r="V404" s="48"/>
    </row>
    <row r="405" spans="1:22" hidden="1" x14ac:dyDescent="0.25">
      <c r="A405" s="152">
        <f t="shared" si="24"/>
        <v>399</v>
      </c>
      <c r="B405" s="46" t="s">
        <v>798</v>
      </c>
      <c r="C405" s="46" t="str">
        <f>+IF(EstadoSolicitudes[[#This Row],[Aprobado OR]]="Aprobado",EstadoSolicitudes[[#This Row],[Aprobado OR]],
IF(EstadoSolicitudes[[#This Row],[Aprobado OR]]="Cancelado",EstadoSolicitudes[[#This Row],[Aprobado OR]],
IF(EstadoSolicitudes[[#This Row],[Cargue estudio al OR]]&gt;1,"Verificación Técnica",
IF(EstadoSolicitudes[[#This Row],[Fecha solicitud estudio]]&gt;1,"Estudio de conexión",
IF(EstadoSolicitudes[[#This Row],[Insumos revisados]]="No",IF(EstadoSolicitudes[[#This Row],[Fecha entrega insumos OR]]&gt;1,"Evolti","Espera de insumos"),
"Evolti")))))</f>
        <v>Espera de insumos</v>
      </c>
      <c r="D405" s="46" t="s">
        <v>151</v>
      </c>
      <c r="G405" s="135" t="s">
        <v>227</v>
      </c>
      <c r="H405" s="46">
        <v>901432582</v>
      </c>
      <c r="I405" s="160" t="s">
        <v>537</v>
      </c>
      <c r="J405" s="48">
        <v>45832</v>
      </c>
      <c r="K405" s="49"/>
      <c r="L405" s="50"/>
      <c r="N405" s="75" t="s">
        <v>229</v>
      </c>
      <c r="R405" s="72"/>
      <c r="S405" s="48"/>
      <c r="U405" s="48"/>
      <c r="V405" s="48"/>
    </row>
    <row r="406" spans="1:22" hidden="1" x14ac:dyDescent="0.25">
      <c r="A406" s="152">
        <f t="shared" si="24"/>
        <v>400</v>
      </c>
      <c r="B406" s="46" t="s">
        <v>799</v>
      </c>
      <c r="C406" s="46" t="str">
        <f>+IF(EstadoSolicitudes[[#This Row],[Aprobado OR]]="Aprobado",EstadoSolicitudes[[#This Row],[Aprobado OR]],
IF(EstadoSolicitudes[[#This Row],[Aprobado OR]]="Cancelado",EstadoSolicitudes[[#This Row],[Aprobado OR]],
IF(EstadoSolicitudes[[#This Row],[Cargue estudio al OR]]&gt;1,"Verificación Técnica",
IF(EstadoSolicitudes[[#This Row],[Fecha solicitud estudio]]&gt;1,"Estudio de conexión",
IF(EstadoSolicitudes[[#This Row],[Insumos revisados]]="No",IF(EstadoSolicitudes[[#This Row],[Fecha entrega insumos OR]]&gt;1,"Evolti","Espera de insumos"),
"Evolti")))))</f>
        <v>Espera de insumos</v>
      </c>
      <c r="D406" s="46" t="s">
        <v>153</v>
      </c>
      <c r="G406" s="135" t="s">
        <v>227</v>
      </c>
      <c r="H406" s="46">
        <v>901432582</v>
      </c>
      <c r="I406" s="160" t="s">
        <v>232</v>
      </c>
      <c r="J406" s="48">
        <v>45833</v>
      </c>
      <c r="K406" s="49">
        <v>4382</v>
      </c>
      <c r="L406" s="50">
        <v>254140</v>
      </c>
      <c r="N406" s="75" t="s">
        <v>229</v>
      </c>
      <c r="R406" s="72"/>
      <c r="S406" s="48"/>
      <c r="U406" s="48"/>
      <c r="V406" s="48"/>
    </row>
    <row r="407" spans="1:22" hidden="1" x14ac:dyDescent="0.25">
      <c r="A407" s="152">
        <f t="shared" si="24"/>
        <v>401</v>
      </c>
      <c r="B407" s="46" t="s">
        <v>800</v>
      </c>
      <c r="C407" s="46" t="str">
        <f>+IF(EstadoSolicitudes[[#This Row],[Aprobado OR]]="Aprobado",EstadoSolicitudes[[#This Row],[Aprobado OR]],
IF(EstadoSolicitudes[[#This Row],[Aprobado OR]]="Cancelado",EstadoSolicitudes[[#This Row],[Aprobado OR]],
IF(EstadoSolicitudes[[#This Row],[Cargue estudio al OR]]&gt;1,"Verificación Técnica",
IF(EstadoSolicitudes[[#This Row],[Fecha solicitud estudio]]&gt;1,"Estudio de conexión",
IF(EstadoSolicitudes[[#This Row],[Insumos revisados]]="No",IF(EstadoSolicitudes[[#This Row],[Fecha entrega insumos OR]]&gt;1,"Evolti","Espera de insumos"),
"Evolti")))))</f>
        <v>Espera de insumos</v>
      </c>
      <c r="D407" s="46" t="s">
        <v>153</v>
      </c>
      <c r="G407" s="135" t="s">
        <v>227</v>
      </c>
      <c r="H407" s="46">
        <v>901432582</v>
      </c>
      <c r="I407" s="160" t="s">
        <v>267</v>
      </c>
      <c r="J407" s="48">
        <v>45833</v>
      </c>
      <c r="K407" s="49">
        <v>4383</v>
      </c>
      <c r="L407" s="50">
        <v>1286176</v>
      </c>
      <c r="N407" s="75" t="s">
        <v>229</v>
      </c>
      <c r="R407" s="72"/>
      <c r="S407" s="48"/>
      <c r="U407" s="48"/>
      <c r="V407" s="48"/>
    </row>
    <row r="408" spans="1:22" hidden="1" x14ac:dyDescent="0.25">
      <c r="A408" s="152">
        <f t="shared" si="24"/>
        <v>402</v>
      </c>
      <c r="B408" s="46" t="s">
        <v>801</v>
      </c>
      <c r="C408" s="46" t="str">
        <f>+IF(EstadoSolicitudes[[#This Row],[Aprobado OR]]="Aprobado",EstadoSolicitudes[[#This Row],[Aprobado OR]],
IF(EstadoSolicitudes[[#This Row],[Aprobado OR]]="Cancelado",EstadoSolicitudes[[#This Row],[Aprobado OR]],
IF(EstadoSolicitudes[[#This Row],[Cargue estudio al OR]]&gt;1,"Verificación Técnica",
IF(EstadoSolicitudes[[#This Row],[Fecha solicitud estudio]]&gt;1,"Estudio de conexión",
IF(EstadoSolicitudes[[#This Row],[Insumos revisados]]="No",IF(EstadoSolicitudes[[#This Row],[Fecha entrega insumos OR]]&gt;1,"Evolti","Espera de insumos"),
"Evolti")))))</f>
        <v>Espera de insumos</v>
      </c>
      <c r="D408" s="46" t="s">
        <v>153</v>
      </c>
      <c r="G408" s="135" t="s">
        <v>227</v>
      </c>
      <c r="H408" s="46">
        <v>901432582</v>
      </c>
      <c r="I408" s="160" t="s">
        <v>529</v>
      </c>
      <c r="J408" s="48">
        <v>45833</v>
      </c>
      <c r="K408" s="49">
        <v>4384</v>
      </c>
      <c r="L408" s="50">
        <v>418801</v>
      </c>
      <c r="N408" s="75" t="s">
        <v>229</v>
      </c>
      <c r="R408" s="72"/>
      <c r="S408" s="48"/>
      <c r="U408" s="48"/>
      <c r="V408" s="48"/>
    </row>
    <row r="409" spans="1:22" hidden="1" x14ac:dyDescent="0.25">
      <c r="A409" s="152">
        <f t="shared" si="24"/>
        <v>403</v>
      </c>
      <c r="B409" s="46" t="s">
        <v>802</v>
      </c>
      <c r="C409" s="46" t="str">
        <f>+IF(EstadoSolicitudes[[#This Row],[Aprobado OR]]="Aprobado",EstadoSolicitudes[[#This Row],[Aprobado OR]],
IF(EstadoSolicitudes[[#This Row],[Aprobado OR]]="Cancelado",EstadoSolicitudes[[#This Row],[Aprobado OR]],
IF(EstadoSolicitudes[[#This Row],[Cargue estudio al OR]]&gt;1,"Verificación Técnica",
IF(EstadoSolicitudes[[#This Row],[Fecha solicitud estudio]]&gt;1,"Estudio de conexión",
IF(EstadoSolicitudes[[#This Row],[Insumos revisados]]="No",IF(EstadoSolicitudes[[#This Row],[Fecha entrega insumos OR]]&gt;1,"Evolti","Espera de insumos"),
"Evolti")))))</f>
        <v>Espera de insumos</v>
      </c>
      <c r="D409" s="46" t="s">
        <v>153</v>
      </c>
      <c r="G409" s="135" t="s">
        <v>227</v>
      </c>
      <c r="H409" s="46">
        <v>901432582</v>
      </c>
      <c r="I409" s="160" t="s">
        <v>232</v>
      </c>
      <c r="J409" s="48">
        <v>45833</v>
      </c>
      <c r="K409" s="49">
        <v>4385</v>
      </c>
      <c r="L409" s="50">
        <v>254140</v>
      </c>
      <c r="N409" s="75" t="s">
        <v>229</v>
      </c>
      <c r="R409" s="72"/>
      <c r="S409" s="48"/>
      <c r="U409" s="48"/>
      <c r="V409" s="48"/>
    </row>
    <row r="410" spans="1:22" hidden="1" x14ac:dyDescent="0.25">
      <c r="A410" s="152">
        <f t="shared" si="24"/>
        <v>404</v>
      </c>
      <c r="B410" s="46" t="s">
        <v>803</v>
      </c>
      <c r="C410" s="46" t="str">
        <f>+IF(EstadoSolicitudes[[#This Row],[Aprobado OR]]="Aprobado",EstadoSolicitudes[[#This Row],[Aprobado OR]],
IF(EstadoSolicitudes[[#This Row],[Aprobado OR]]="Cancelado",EstadoSolicitudes[[#This Row],[Aprobado OR]],
IF(EstadoSolicitudes[[#This Row],[Cargue estudio al OR]]&gt;1,"Verificación Técnica",
IF(EstadoSolicitudes[[#This Row],[Fecha solicitud estudio]]&gt;1,"Estudio de conexión",
IF(EstadoSolicitudes[[#This Row],[Insumos revisados]]="No",IF(EstadoSolicitudes[[#This Row],[Fecha entrega insumos OR]]&gt;1,"Evolti","Espera de insumos"),
"Evolti")))))</f>
        <v>Espera de insumos</v>
      </c>
      <c r="D410" s="46" t="s">
        <v>153</v>
      </c>
      <c r="G410" s="135" t="s">
        <v>227</v>
      </c>
      <c r="H410" s="46">
        <v>901432582</v>
      </c>
      <c r="I410" s="160" t="s">
        <v>267</v>
      </c>
      <c r="J410" s="48">
        <v>45833</v>
      </c>
      <c r="K410" s="49">
        <v>4386</v>
      </c>
      <c r="L410" s="50">
        <v>1286176</v>
      </c>
      <c r="N410" s="75" t="s">
        <v>229</v>
      </c>
      <c r="R410" s="72"/>
      <c r="S410" s="48"/>
      <c r="U410" s="48"/>
      <c r="V410" s="48"/>
    </row>
    <row r="411" spans="1:22" hidden="1" x14ac:dyDescent="0.25">
      <c r="A411" s="152">
        <f t="shared" si="24"/>
        <v>405</v>
      </c>
      <c r="B411" s="46" t="s">
        <v>804</v>
      </c>
      <c r="C411" s="46" t="str">
        <f>+IF(EstadoSolicitudes[[#This Row],[Aprobado OR]]="Aprobado",EstadoSolicitudes[[#This Row],[Aprobado OR]],
IF(EstadoSolicitudes[[#This Row],[Aprobado OR]]="Cancelado",EstadoSolicitudes[[#This Row],[Aprobado OR]],
IF(EstadoSolicitudes[[#This Row],[Cargue estudio al OR]]&gt;1,"Verificación Técnica",
IF(EstadoSolicitudes[[#This Row],[Fecha solicitud estudio]]&gt;1,"Estudio de conexión",
IF(EstadoSolicitudes[[#This Row],[Insumos revisados]]="No",IF(EstadoSolicitudes[[#This Row],[Fecha entrega insumos OR]]&gt;1,"Evolti","Espera de insumos"),
"Evolti")))))</f>
        <v>Espera de insumos</v>
      </c>
      <c r="D411" s="46" t="s">
        <v>153</v>
      </c>
      <c r="G411" s="135" t="s">
        <v>227</v>
      </c>
      <c r="H411" s="46">
        <v>901432582</v>
      </c>
      <c r="I411" s="160" t="s">
        <v>537</v>
      </c>
      <c r="J411" s="48">
        <v>45833</v>
      </c>
      <c r="K411" s="49">
        <v>4387</v>
      </c>
      <c r="L411" s="50">
        <v>6419493</v>
      </c>
      <c r="N411" s="75" t="s">
        <v>229</v>
      </c>
      <c r="R411" s="72"/>
      <c r="S411" s="48"/>
      <c r="U411" s="48"/>
      <c r="V411" s="48"/>
    </row>
    <row r="412" spans="1:22" hidden="1" x14ac:dyDescent="0.25">
      <c r="A412" s="152">
        <f t="shared" si="24"/>
        <v>406</v>
      </c>
      <c r="B412" s="46" t="s">
        <v>805</v>
      </c>
      <c r="C412" s="46" t="str">
        <f>+IF(EstadoSolicitudes[[#This Row],[Aprobado OR]]="Aprobado",EstadoSolicitudes[[#This Row],[Aprobado OR]],
IF(EstadoSolicitudes[[#This Row],[Aprobado OR]]="Cancelado",EstadoSolicitudes[[#This Row],[Aprobado OR]],
IF(EstadoSolicitudes[[#This Row],[Cargue estudio al OR]]&gt;1,"Verificación Técnica",
IF(EstadoSolicitudes[[#This Row],[Fecha solicitud estudio]]&gt;1,"Estudio de conexión",
IF(EstadoSolicitudes[[#This Row],[Insumos revisados]]="No",IF(EstadoSolicitudes[[#This Row],[Fecha entrega insumos OR]]&gt;1,"Evolti","Espera de insumos"),
"Evolti")))))</f>
        <v>Espera de insumos</v>
      </c>
      <c r="D412" s="46" t="s">
        <v>153</v>
      </c>
      <c r="G412" s="135" t="s">
        <v>227</v>
      </c>
      <c r="H412" s="46">
        <v>901432582</v>
      </c>
      <c r="I412" s="160" t="s">
        <v>232</v>
      </c>
      <c r="J412" s="48">
        <v>45833</v>
      </c>
      <c r="K412" s="49">
        <v>4389</v>
      </c>
      <c r="L412" s="50">
        <v>254140</v>
      </c>
      <c r="N412" s="75" t="s">
        <v>229</v>
      </c>
      <c r="R412" s="72"/>
      <c r="S412" s="48"/>
      <c r="U412" s="48"/>
      <c r="V412" s="48"/>
    </row>
    <row r="413" spans="1:22" hidden="1" x14ac:dyDescent="0.25">
      <c r="A413" s="152">
        <f t="shared" si="24"/>
        <v>407</v>
      </c>
      <c r="B413" s="46" t="s">
        <v>806</v>
      </c>
      <c r="C413" s="46" t="str">
        <f>+IF(EstadoSolicitudes[[#This Row],[Aprobado OR]]="Aprobado",EstadoSolicitudes[[#This Row],[Aprobado OR]],
IF(EstadoSolicitudes[[#This Row],[Aprobado OR]]="Cancelado",EstadoSolicitudes[[#This Row],[Aprobado OR]],
IF(EstadoSolicitudes[[#This Row],[Cargue estudio al OR]]&gt;1,"Verificación Técnica",
IF(EstadoSolicitudes[[#This Row],[Fecha solicitud estudio]]&gt;1,"Estudio de conexión",
IF(EstadoSolicitudes[[#This Row],[Insumos revisados]]="No",IF(EstadoSolicitudes[[#This Row],[Fecha entrega insumos OR]]&gt;1,"Evolti","Espera de insumos"),
"Evolti")))))</f>
        <v>Espera de insumos</v>
      </c>
      <c r="D413" s="46" t="s">
        <v>153</v>
      </c>
      <c r="G413" s="135" t="s">
        <v>227</v>
      </c>
      <c r="H413" s="46">
        <v>901432582</v>
      </c>
      <c r="I413" s="160" t="s">
        <v>267</v>
      </c>
      <c r="J413" s="48">
        <v>45833</v>
      </c>
      <c r="K413" s="49">
        <v>4390</v>
      </c>
      <c r="L413" s="50">
        <v>1286176</v>
      </c>
      <c r="N413" s="75" t="s">
        <v>229</v>
      </c>
      <c r="R413" s="72"/>
      <c r="S413" s="48"/>
      <c r="U413" s="48"/>
      <c r="V413" s="48"/>
    </row>
    <row r="414" spans="1:22" hidden="1" x14ac:dyDescent="0.25">
      <c r="A414" s="152">
        <f t="shared" si="24"/>
        <v>408</v>
      </c>
      <c r="B414" s="46" t="s">
        <v>807</v>
      </c>
      <c r="C414" s="46" t="str">
        <f>+IF(EstadoSolicitudes[[#This Row],[Aprobado OR]]="Aprobado",EstadoSolicitudes[[#This Row],[Aprobado OR]],
IF(EstadoSolicitudes[[#This Row],[Aprobado OR]]="Cancelado",EstadoSolicitudes[[#This Row],[Aprobado OR]],
IF(EstadoSolicitudes[[#This Row],[Cargue estudio al OR]]&gt;1,"Verificación Técnica",
IF(EstadoSolicitudes[[#This Row],[Fecha solicitud estudio]]&gt;1,"Estudio de conexión",
IF(EstadoSolicitudes[[#This Row],[Insumos revisados]]="No",IF(EstadoSolicitudes[[#This Row],[Fecha entrega insumos OR]]&gt;1,"Evolti","Espera de insumos"),
"Evolti")))))</f>
        <v>Espera de insumos</v>
      </c>
      <c r="D414" s="46" t="s">
        <v>153</v>
      </c>
      <c r="G414" s="135" t="s">
        <v>227</v>
      </c>
      <c r="H414" s="46">
        <v>901432582</v>
      </c>
      <c r="I414" s="160" t="s">
        <v>529</v>
      </c>
      <c r="J414" s="48">
        <v>45833</v>
      </c>
      <c r="K414" s="49">
        <v>4391</v>
      </c>
      <c r="L414" s="50">
        <v>418801</v>
      </c>
      <c r="N414" s="75" t="s">
        <v>229</v>
      </c>
      <c r="R414" s="72"/>
      <c r="S414" s="48"/>
      <c r="U414" s="48"/>
      <c r="V414" s="48"/>
    </row>
    <row r="415" spans="1:22" hidden="1" x14ac:dyDescent="0.25">
      <c r="A415" s="152">
        <f t="shared" si="24"/>
        <v>409</v>
      </c>
      <c r="B415" s="46" t="s">
        <v>808</v>
      </c>
      <c r="C415" s="46" t="str">
        <f>+IF(EstadoSolicitudes[[#This Row],[Aprobado OR]]="Aprobado",EstadoSolicitudes[[#This Row],[Aprobado OR]],
IF(EstadoSolicitudes[[#This Row],[Aprobado OR]]="Cancelado",EstadoSolicitudes[[#This Row],[Aprobado OR]],
IF(EstadoSolicitudes[[#This Row],[Cargue estudio al OR]]&gt;1,"Verificación Técnica",
IF(EstadoSolicitudes[[#This Row],[Fecha solicitud estudio]]&gt;1,"Estudio de conexión",
IF(EstadoSolicitudes[[#This Row],[Insumos revisados]]="No",IF(EstadoSolicitudes[[#This Row],[Fecha entrega insumos OR]]&gt;1,"Evolti","Espera de insumos"),
"Evolti")))))</f>
        <v>Espera de insumos</v>
      </c>
      <c r="D415" s="46" t="s">
        <v>151</v>
      </c>
      <c r="E415" s="152" t="s">
        <v>809</v>
      </c>
      <c r="G415" s="135" t="s">
        <v>227</v>
      </c>
      <c r="H415" s="46">
        <v>901432582</v>
      </c>
      <c r="I415" s="160" t="s">
        <v>662</v>
      </c>
      <c r="J415" s="48">
        <v>45833</v>
      </c>
      <c r="K415" s="49"/>
      <c r="L415" s="50"/>
      <c r="N415" s="75" t="s">
        <v>229</v>
      </c>
      <c r="R415" s="72"/>
      <c r="S415" s="48"/>
      <c r="U415" s="48"/>
      <c r="V415" s="48"/>
    </row>
    <row r="416" spans="1:22" hidden="1" x14ac:dyDescent="0.25">
      <c r="A416" s="152">
        <f t="shared" si="24"/>
        <v>410</v>
      </c>
      <c r="B416" s="46" t="s">
        <v>810</v>
      </c>
      <c r="C416" s="46" t="str">
        <f>+IF(EstadoSolicitudes[[#This Row],[Aprobado OR]]="Aprobado",EstadoSolicitudes[[#This Row],[Aprobado OR]],
IF(EstadoSolicitudes[[#This Row],[Aprobado OR]]="Cancelado",EstadoSolicitudes[[#This Row],[Aprobado OR]],
IF(EstadoSolicitudes[[#This Row],[Cargue estudio al OR]]&gt;1,"Verificación Técnica",
IF(EstadoSolicitudes[[#This Row],[Fecha solicitud estudio]]&gt;1,"Estudio de conexión",
IF(EstadoSolicitudes[[#This Row],[Insumos revisados]]="No",IF(EstadoSolicitudes[[#This Row],[Fecha entrega insumos OR]]&gt;1,"Evolti","Espera de insumos"),
"Evolti")))))</f>
        <v>Espera de insumos</v>
      </c>
      <c r="D416" s="46" t="s">
        <v>151</v>
      </c>
      <c r="E416" s="152" t="s">
        <v>809</v>
      </c>
      <c r="G416" s="135" t="s">
        <v>227</v>
      </c>
      <c r="H416" s="46">
        <v>901432582</v>
      </c>
      <c r="I416" s="160" t="s">
        <v>662</v>
      </c>
      <c r="J416" s="48">
        <v>45833</v>
      </c>
      <c r="K416" s="49"/>
      <c r="L416" s="50"/>
      <c r="N416" s="75" t="s">
        <v>229</v>
      </c>
      <c r="R416" s="72"/>
      <c r="S416" s="48"/>
      <c r="U416" s="48"/>
      <c r="V416" s="48"/>
    </row>
    <row r="417" spans="1:22" hidden="1" x14ac:dyDescent="0.25">
      <c r="A417" s="152">
        <f t="shared" si="24"/>
        <v>411</v>
      </c>
      <c r="B417" s="46" t="s">
        <v>811</v>
      </c>
      <c r="C417" s="46" t="str">
        <f>+IF(EstadoSolicitudes[[#This Row],[Aprobado OR]]="Aprobado",EstadoSolicitudes[[#This Row],[Aprobado OR]],
IF(EstadoSolicitudes[[#This Row],[Aprobado OR]]="Cancelado",EstadoSolicitudes[[#This Row],[Aprobado OR]],
IF(EstadoSolicitudes[[#This Row],[Cargue estudio al OR]]&gt;1,"Verificación Técnica",
IF(EstadoSolicitudes[[#This Row],[Fecha solicitud estudio]]&gt;1,"Estudio de conexión",
IF(EstadoSolicitudes[[#This Row],[Insumos revisados]]="No",IF(EstadoSolicitudes[[#This Row],[Fecha entrega insumos OR]]&gt;1,"Evolti","Espera de insumos"),
"Evolti")))))</f>
        <v>Espera de insumos</v>
      </c>
      <c r="D417" s="46" t="s">
        <v>151</v>
      </c>
      <c r="E417" s="152" t="s">
        <v>809</v>
      </c>
      <c r="G417" s="135" t="s">
        <v>227</v>
      </c>
      <c r="H417" s="46">
        <v>901432582</v>
      </c>
      <c r="I417" s="160" t="s">
        <v>662</v>
      </c>
      <c r="J417" s="48">
        <v>45833</v>
      </c>
      <c r="K417" s="49"/>
      <c r="L417" s="50"/>
      <c r="N417" s="75" t="s">
        <v>229</v>
      </c>
      <c r="R417" s="72"/>
      <c r="S417" s="48"/>
      <c r="U417" s="48"/>
      <c r="V417" s="48"/>
    </row>
    <row r="418" spans="1:22" hidden="1" x14ac:dyDescent="0.25">
      <c r="A418" s="152">
        <f t="shared" si="24"/>
        <v>412</v>
      </c>
      <c r="B418" s="46" t="s">
        <v>812</v>
      </c>
      <c r="C418" s="46" t="str">
        <f>+IF(EstadoSolicitudes[[#This Row],[Aprobado OR]]="Aprobado",EstadoSolicitudes[[#This Row],[Aprobado OR]],
IF(EstadoSolicitudes[[#This Row],[Aprobado OR]]="Cancelado",EstadoSolicitudes[[#This Row],[Aprobado OR]],
IF(EstadoSolicitudes[[#This Row],[Cargue estudio al OR]]&gt;1,"Verificación Técnica",
IF(EstadoSolicitudes[[#This Row],[Fecha solicitud estudio]]&gt;1,"Estudio de conexión",
IF(EstadoSolicitudes[[#This Row],[Insumos revisados]]="No",IF(EstadoSolicitudes[[#This Row],[Fecha entrega insumos OR]]&gt;1,"Evolti","Espera de insumos"),
"Evolti")))))</f>
        <v>Espera de insumos</v>
      </c>
      <c r="D418" s="46" t="s">
        <v>161</v>
      </c>
      <c r="E418" s="152" t="s">
        <v>813</v>
      </c>
      <c r="F418" s="152">
        <v>86505</v>
      </c>
      <c r="G418" s="135" t="s">
        <v>227</v>
      </c>
      <c r="H418" s="46">
        <v>901432582</v>
      </c>
      <c r="I418" s="160" t="s">
        <v>232</v>
      </c>
      <c r="J418" s="48">
        <v>45834</v>
      </c>
      <c r="K418" s="49">
        <v>64970354</v>
      </c>
      <c r="L418" s="50"/>
      <c r="N418" s="75" t="s">
        <v>229</v>
      </c>
      <c r="R418" s="72"/>
      <c r="S418" s="48"/>
      <c r="U418" s="48"/>
      <c r="V418" s="48"/>
    </row>
    <row r="419" spans="1:22" hidden="1" x14ac:dyDescent="0.25">
      <c r="A419" s="152">
        <f t="shared" si="24"/>
        <v>413</v>
      </c>
      <c r="B419" s="46" t="s">
        <v>814</v>
      </c>
      <c r="C419" s="46" t="str">
        <f>+IF(EstadoSolicitudes[[#This Row],[Aprobado OR]]="Aprobado",EstadoSolicitudes[[#This Row],[Aprobado OR]],
IF(EstadoSolicitudes[[#This Row],[Aprobado OR]]="Cancelado",EstadoSolicitudes[[#This Row],[Aprobado OR]],
IF(EstadoSolicitudes[[#This Row],[Cargue estudio al OR]]&gt;1,"Verificación Técnica",
IF(EstadoSolicitudes[[#This Row],[Fecha solicitud estudio]]&gt;1,"Estudio de conexión",
IF(EstadoSolicitudes[[#This Row],[Insumos revisados]]="No",IF(EstadoSolicitudes[[#This Row],[Fecha entrega insumos OR]]&gt;1,"Evolti","Espera de insumos"),
"Evolti")))))</f>
        <v>Espera de insumos</v>
      </c>
      <c r="D419" s="46" t="s">
        <v>161</v>
      </c>
      <c r="E419" s="152" t="s">
        <v>813</v>
      </c>
      <c r="F419" s="152">
        <v>86505</v>
      </c>
      <c r="G419" s="135" t="s">
        <v>227</v>
      </c>
      <c r="H419" s="46">
        <v>901432582</v>
      </c>
      <c r="I419" s="160" t="s">
        <v>232</v>
      </c>
      <c r="J419" s="48">
        <v>45834</v>
      </c>
      <c r="K419" s="49">
        <v>64964784</v>
      </c>
      <c r="L419" s="50"/>
      <c r="N419" s="75" t="s">
        <v>229</v>
      </c>
      <c r="R419" s="72"/>
      <c r="S419" s="48"/>
      <c r="U419" s="48"/>
      <c r="V419" s="48"/>
    </row>
    <row r="420" spans="1:22" hidden="1" x14ac:dyDescent="0.25">
      <c r="A420" s="152">
        <f t="shared" si="24"/>
        <v>414</v>
      </c>
      <c r="B420" s="46" t="s">
        <v>815</v>
      </c>
      <c r="C420" s="46" t="str">
        <f>+IF(EstadoSolicitudes[[#This Row],[Aprobado OR]]="Aprobado",EstadoSolicitudes[[#This Row],[Aprobado OR]],
IF(EstadoSolicitudes[[#This Row],[Aprobado OR]]="Cancelado",EstadoSolicitudes[[#This Row],[Aprobado OR]],
IF(EstadoSolicitudes[[#This Row],[Cargue estudio al OR]]&gt;1,"Verificación Técnica",
IF(EstadoSolicitudes[[#This Row],[Fecha solicitud estudio]]&gt;1,"Estudio de conexión",
IF(EstadoSolicitudes[[#This Row],[Insumos revisados]]="No",IF(EstadoSolicitudes[[#This Row],[Fecha entrega insumos OR]]&gt;1,"Evolti","Espera de insumos"),
"Evolti")))))</f>
        <v>Espera de insumos</v>
      </c>
      <c r="D420" s="46" t="s">
        <v>161</v>
      </c>
      <c r="E420" s="152" t="s">
        <v>813</v>
      </c>
      <c r="F420" s="152">
        <v>86505</v>
      </c>
      <c r="G420" s="135" t="s">
        <v>227</v>
      </c>
      <c r="H420" s="46">
        <v>901432582</v>
      </c>
      <c r="I420" s="160" t="s">
        <v>232</v>
      </c>
      <c r="J420" s="48">
        <v>45834</v>
      </c>
      <c r="K420" s="49">
        <v>64964863</v>
      </c>
      <c r="L420" s="50"/>
      <c r="N420" s="75" t="s">
        <v>229</v>
      </c>
      <c r="R420" s="72"/>
      <c r="S420" s="48"/>
      <c r="U420" s="48"/>
      <c r="V420" s="48"/>
    </row>
    <row r="421" spans="1:22" hidden="1" x14ac:dyDescent="0.25">
      <c r="A421" s="152">
        <f t="shared" si="24"/>
        <v>415</v>
      </c>
      <c r="B421" s="46" t="s">
        <v>816</v>
      </c>
      <c r="C421" s="46" t="str">
        <f>+IF(EstadoSolicitudes[[#This Row],[Aprobado OR]]="Aprobado",EstadoSolicitudes[[#This Row],[Aprobado OR]],
IF(EstadoSolicitudes[[#This Row],[Aprobado OR]]="Cancelado",EstadoSolicitudes[[#This Row],[Aprobado OR]],
IF(EstadoSolicitudes[[#This Row],[Cargue estudio al OR]]&gt;1,"Verificación Técnica",
IF(EstadoSolicitudes[[#This Row],[Fecha solicitud estudio]]&gt;1,"Estudio de conexión",
IF(EstadoSolicitudes[[#This Row],[Insumos revisados]]="No",IF(EstadoSolicitudes[[#This Row],[Fecha entrega insumos OR]]&gt;1,"Evolti","Espera de insumos"),
"Evolti")))))</f>
        <v>Evolti</v>
      </c>
      <c r="D421" s="46" t="s">
        <v>817</v>
      </c>
      <c r="E421" s="152" t="s">
        <v>818</v>
      </c>
      <c r="F421" s="152" t="s">
        <v>819</v>
      </c>
      <c r="G421" s="135" t="s">
        <v>227</v>
      </c>
      <c r="H421" s="46">
        <v>901432582</v>
      </c>
      <c r="I421" s="160" t="s">
        <v>232</v>
      </c>
      <c r="J421" s="48">
        <v>45834</v>
      </c>
      <c r="K421" s="49">
        <v>12887824</v>
      </c>
      <c r="L421" s="50" t="s">
        <v>820</v>
      </c>
      <c r="M421" s="48">
        <v>45853</v>
      </c>
      <c r="N421" s="75" t="s">
        <v>542</v>
      </c>
      <c r="R421" s="72"/>
      <c r="S421" s="48"/>
      <c r="U421" s="48"/>
      <c r="V421" s="48"/>
    </row>
    <row r="422" spans="1:22" hidden="1" x14ac:dyDescent="0.25">
      <c r="A422" s="152">
        <f t="shared" si="24"/>
        <v>416</v>
      </c>
      <c r="B422" s="46" t="s">
        <v>821</v>
      </c>
      <c r="C422" s="46" t="str">
        <f>+IF(EstadoSolicitudes[[#This Row],[Aprobado OR]]="Aprobado",EstadoSolicitudes[[#This Row],[Aprobado OR]],
IF(EstadoSolicitudes[[#This Row],[Aprobado OR]]="Cancelado",EstadoSolicitudes[[#This Row],[Aprobado OR]],
IF(EstadoSolicitudes[[#This Row],[Cargue estudio al OR]]&gt;1,"Verificación Técnica",
IF(EstadoSolicitudes[[#This Row],[Fecha solicitud estudio]]&gt;1,"Estudio de conexión",
IF(EstadoSolicitudes[[#This Row],[Insumos revisados]]="No",IF(EstadoSolicitudes[[#This Row],[Fecha entrega insumos OR]]&gt;1,"Evolti","Espera de insumos"),
"Evolti")))))</f>
        <v>Evolti</v>
      </c>
      <c r="D422" s="46" t="s">
        <v>817</v>
      </c>
      <c r="E422" s="152" t="s">
        <v>818</v>
      </c>
      <c r="F422" s="152" t="s">
        <v>819</v>
      </c>
      <c r="G422" s="135" t="s">
        <v>227</v>
      </c>
      <c r="H422" s="46">
        <v>901432582</v>
      </c>
      <c r="I422" s="160" t="s">
        <v>232</v>
      </c>
      <c r="J422" s="48">
        <v>45834</v>
      </c>
      <c r="K422" s="49">
        <v>12887833</v>
      </c>
      <c r="L422" s="50" t="s">
        <v>822</v>
      </c>
      <c r="M422" s="48">
        <v>45853</v>
      </c>
      <c r="N422" s="75" t="s">
        <v>542</v>
      </c>
      <c r="R422" s="72"/>
      <c r="S422" s="48"/>
      <c r="U422" s="48"/>
      <c r="V422" s="48"/>
    </row>
    <row r="423" spans="1:22" hidden="1" x14ac:dyDescent="0.25">
      <c r="A423" s="152">
        <f t="shared" si="24"/>
        <v>417</v>
      </c>
      <c r="B423" s="46" t="s">
        <v>823</v>
      </c>
      <c r="C423" s="46" t="str">
        <f>+IF(EstadoSolicitudes[[#This Row],[Aprobado OR]]="Aprobado",EstadoSolicitudes[[#This Row],[Aprobado OR]],
IF(EstadoSolicitudes[[#This Row],[Aprobado OR]]="Cancelado",EstadoSolicitudes[[#This Row],[Aprobado OR]],
IF(EstadoSolicitudes[[#This Row],[Cargue estudio al OR]]&gt;1,"Verificación Técnica",
IF(EstadoSolicitudes[[#This Row],[Fecha solicitud estudio]]&gt;1,"Estudio de conexión",
IF(EstadoSolicitudes[[#This Row],[Insumos revisados]]="No",IF(EstadoSolicitudes[[#This Row],[Fecha entrega insumos OR]]&gt;1,"Evolti","Espera de insumos"),
"Evolti")))))</f>
        <v>Evolti</v>
      </c>
      <c r="D423" s="46" t="s">
        <v>817</v>
      </c>
      <c r="E423" s="152" t="s">
        <v>818</v>
      </c>
      <c r="F423" s="152" t="s">
        <v>819</v>
      </c>
      <c r="G423" s="135" t="s">
        <v>227</v>
      </c>
      <c r="H423" s="46">
        <v>901432582</v>
      </c>
      <c r="I423" s="160" t="s">
        <v>232</v>
      </c>
      <c r="J423" s="48">
        <v>45834</v>
      </c>
      <c r="K423" s="49">
        <v>12887836</v>
      </c>
      <c r="L423" s="50" t="s">
        <v>824</v>
      </c>
      <c r="M423" s="48">
        <v>45853</v>
      </c>
      <c r="N423" s="75" t="s">
        <v>542</v>
      </c>
      <c r="R423" s="72"/>
      <c r="S423" s="48"/>
      <c r="U423" s="48"/>
      <c r="V423" s="48"/>
    </row>
    <row r="424" spans="1:22" hidden="1" x14ac:dyDescent="0.25">
      <c r="A424" s="152">
        <f t="shared" si="24"/>
        <v>418</v>
      </c>
      <c r="B424" s="241" t="s">
        <v>825</v>
      </c>
      <c r="C424" s="46" t="str">
        <f>+IF(EstadoSolicitudes[[#This Row],[Aprobado OR]]="Aprobado",EstadoSolicitudes[[#This Row],[Aprobado OR]],
IF(EstadoSolicitudes[[#This Row],[Aprobado OR]]="Cancelado",EstadoSolicitudes[[#This Row],[Aprobado OR]],
IF(EstadoSolicitudes[[#This Row],[Cargue estudio al OR]]&gt;1,"Verificación Técnica",
IF(EstadoSolicitudes[[#This Row],[Fecha solicitud estudio]]&gt;1,"Estudio de conexión",
IF(EstadoSolicitudes[[#This Row],[Insumos revisados]]="No",IF(EstadoSolicitudes[[#This Row],[Fecha entrega insumos OR]]&gt;1,"Evolti","Espera de insumos"),
"Evolti")))))</f>
        <v>Evolti</v>
      </c>
      <c r="D424" s="46" t="s">
        <v>159</v>
      </c>
      <c r="E424" s="152" t="s">
        <v>826</v>
      </c>
      <c r="F424" s="152">
        <v>14451</v>
      </c>
      <c r="G424" s="135" t="s">
        <v>227</v>
      </c>
      <c r="H424" s="46">
        <v>901432582</v>
      </c>
      <c r="I424" s="160" t="s">
        <v>232</v>
      </c>
      <c r="J424" s="48">
        <v>45835</v>
      </c>
      <c r="K424" s="49">
        <v>15792</v>
      </c>
      <c r="L424" s="50" t="s">
        <v>434</v>
      </c>
      <c r="M424" s="48">
        <v>45848</v>
      </c>
      <c r="N424" s="75" t="s">
        <v>542</v>
      </c>
      <c r="R424" s="72"/>
      <c r="S424" s="48"/>
      <c r="U424" s="48"/>
      <c r="V424" s="48"/>
    </row>
    <row r="425" spans="1:22" hidden="1" x14ac:dyDescent="0.25">
      <c r="A425" s="152">
        <f t="shared" si="24"/>
        <v>419</v>
      </c>
      <c r="B425" s="241" t="s">
        <v>827</v>
      </c>
      <c r="C425" s="46" t="str">
        <f>+IF(EstadoSolicitudes[[#This Row],[Aprobado OR]]="Aprobado",EstadoSolicitudes[[#This Row],[Aprobado OR]],
IF(EstadoSolicitudes[[#This Row],[Aprobado OR]]="Cancelado",EstadoSolicitudes[[#This Row],[Aprobado OR]],
IF(EstadoSolicitudes[[#This Row],[Cargue estudio al OR]]&gt;1,"Verificación Técnica",
IF(EstadoSolicitudes[[#This Row],[Fecha solicitud estudio]]&gt;1,"Estudio de conexión",
IF(EstadoSolicitudes[[#This Row],[Insumos revisados]]="No",IF(EstadoSolicitudes[[#This Row],[Fecha entrega insumos OR]]&gt;1,"Evolti","Espera de insumos"),
"Evolti")))))</f>
        <v>Evolti</v>
      </c>
      <c r="D425" s="46" t="s">
        <v>159</v>
      </c>
      <c r="E425" s="152" t="s">
        <v>826</v>
      </c>
      <c r="F425" s="152">
        <v>14451</v>
      </c>
      <c r="G425" s="135" t="s">
        <v>227</v>
      </c>
      <c r="H425" s="46">
        <v>901432582</v>
      </c>
      <c r="I425" s="160" t="s">
        <v>267</v>
      </c>
      <c r="J425" s="48">
        <v>45835</v>
      </c>
      <c r="K425" s="49">
        <v>15793</v>
      </c>
      <c r="L425" s="50" t="s">
        <v>437</v>
      </c>
      <c r="M425" s="48">
        <v>45848</v>
      </c>
      <c r="N425" s="75" t="s">
        <v>542</v>
      </c>
      <c r="R425" s="72"/>
      <c r="S425" s="48"/>
      <c r="U425" s="48"/>
      <c r="V425" s="48"/>
    </row>
    <row r="426" spans="1:22" hidden="1" x14ac:dyDescent="0.25">
      <c r="A426" s="152">
        <f t="shared" si="24"/>
        <v>420</v>
      </c>
      <c r="B426" s="241" t="s">
        <v>828</v>
      </c>
      <c r="C426" s="46" t="str">
        <f>+IF(EstadoSolicitudes[[#This Row],[Aprobado OR]]="Aprobado",EstadoSolicitudes[[#This Row],[Aprobado OR]],
IF(EstadoSolicitudes[[#This Row],[Aprobado OR]]="Cancelado",EstadoSolicitudes[[#This Row],[Aprobado OR]],
IF(EstadoSolicitudes[[#This Row],[Cargue estudio al OR]]&gt;1,"Verificación Técnica",
IF(EstadoSolicitudes[[#This Row],[Fecha solicitud estudio]]&gt;1,"Estudio de conexión",
IF(EstadoSolicitudes[[#This Row],[Insumos revisados]]="No",IF(EstadoSolicitudes[[#This Row],[Fecha entrega insumos OR]]&gt;1,"Evolti","Espera de insumos"),
"Evolti")))))</f>
        <v>Evolti</v>
      </c>
      <c r="D426" s="46" t="s">
        <v>159</v>
      </c>
      <c r="E426" s="152" t="s">
        <v>826</v>
      </c>
      <c r="F426" s="152">
        <v>14451</v>
      </c>
      <c r="G426" s="135" t="s">
        <v>227</v>
      </c>
      <c r="H426" s="46">
        <v>901432582</v>
      </c>
      <c r="I426" s="160" t="s">
        <v>529</v>
      </c>
      <c r="J426" s="48">
        <v>45835</v>
      </c>
      <c r="K426" s="49">
        <v>15794</v>
      </c>
      <c r="L426" s="50" t="s">
        <v>781</v>
      </c>
      <c r="M426" s="48">
        <v>45848</v>
      </c>
      <c r="N426" s="75" t="s">
        <v>542</v>
      </c>
      <c r="R426" s="72"/>
      <c r="S426" s="48"/>
      <c r="U426" s="48"/>
      <c r="V426" s="48"/>
    </row>
    <row r="427" spans="1:22" hidden="1" x14ac:dyDescent="0.25">
      <c r="A427" s="152">
        <f t="shared" si="24"/>
        <v>421</v>
      </c>
      <c r="B427" s="46" t="s">
        <v>829</v>
      </c>
      <c r="C427" s="46" t="str">
        <f>+IF(EstadoSolicitudes[[#This Row],[Aprobado OR]]="Aprobado",EstadoSolicitudes[[#This Row],[Aprobado OR]],
IF(EstadoSolicitudes[[#This Row],[Aprobado OR]]="Cancelado",EstadoSolicitudes[[#This Row],[Aprobado OR]],
IF(EstadoSolicitudes[[#This Row],[Cargue estudio al OR]]&gt;1,"Verificación Técnica",
IF(EstadoSolicitudes[[#This Row],[Fecha solicitud estudio]]&gt;1,"Estudio de conexión",
IF(EstadoSolicitudes[[#This Row],[Insumos revisados]]="No",IF(EstadoSolicitudes[[#This Row],[Fecha entrega insumos OR]]&gt;1,"Evolti","Espera de insumos"),
"Evolti")))))</f>
        <v>Evolti</v>
      </c>
      <c r="D427" s="135" t="s">
        <v>702</v>
      </c>
      <c r="F427" s="152">
        <v>21732</v>
      </c>
      <c r="G427" s="135" t="s">
        <v>227</v>
      </c>
      <c r="H427" s="46">
        <v>901432582</v>
      </c>
      <c r="I427" s="160" t="s">
        <v>232</v>
      </c>
      <c r="J427" s="48">
        <v>45835</v>
      </c>
      <c r="K427" s="49">
        <v>5063</v>
      </c>
      <c r="L427" s="50" t="s">
        <v>732</v>
      </c>
      <c r="M427" s="48">
        <v>45847</v>
      </c>
      <c r="N427" s="75" t="s">
        <v>229</v>
      </c>
      <c r="R427" s="72"/>
      <c r="S427" s="48"/>
      <c r="U427" s="48"/>
      <c r="V427" s="48"/>
    </row>
    <row r="428" spans="1:22" hidden="1" x14ac:dyDescent="0.25">
      <c r="A428" s="152">
        <f>+A427+1</f>
        <v>422</v>
      </c>
      <c r="B428" s="46" t="s">
        <v>830</v>
      </c>
      <c r="C428" s="46" t="str">
        <f>+IF(EstadoSolicitudes[[#This Row],[Aprobado OR]]="Aprobado",EstadoSolicitudes[[#This Row],[Aprobado OR]],
IF(EstadoSolicitudes[[#This Row],[Aprobado OR]]="Cancelado",EstadoSolicitudes[[#This Row],[Aprobado OR]],
IF(EstadoSolicitudes[[#This Row],[Cargue estudio al OR]]&gt;1,"Verificación Técnica",
IF(EstadoSolicitudes[[#This Row],[Fecha solicitud estudio]]&gt;1,"Estudio de conexión",
IF(EstadoSolicitudes[[#This Row],[Insumos revisados]]="No",IF(EstadoSolicitudes[[#This Row],[Fecha entrega insumos OR]]&gt;1,"Evolti","Espera de insumos"),
"Evolti")))))</f>
        <v>Evolti</v>
      </c>
      <c r="D428" s="135" t="s">
        <v>702</v>
      </c>
      <c r="F428" s="152">
        <v>21732</v>
      </c>
      <c r="G428" s="135" t="s">
        <v>227</v>
      </c>
      <c r="H428" s="46">
        <v>901432582</v>
      </c>
      <c r="I428" s="160" t="s">
        <v>831</v>
      </c>
      <c r="J428" s="48">
        <v>45835</v>
      </c>
      <c r="K428" s="49">
        <v>5064</v>
      </c>
      <c r="L428" s="50" t="s">
        <v>736</v>
      </c>
      <c r="M428" s="48">
        <v>45847</v>
      </c>
      <c r="N428" s="75" t="s">
        <v>229</v>
      </c>
      <c r="R428" s="72"/>
      <c r="S428" s="48"/>
      <c r="U428" s="48"/>
      <c r="V428" s="48"/>
    </row>
    <row r="429" spans="1:22" hidden="1" x14ac:dyDescent="0.25">
      <c r="A429" s="152">
        <f>+A428+1</f>
        <v>423</v>
      </c>
      <c r="B429" s="46" t="s">
        <v>832</v>
      </c>
      <c r="C429" s="46" t="str">
        <f>+IF(EstadoSolicitudes[[#This Row],[Aprobado OR]]="Aprobado",EstadoSolicitudes[[#This Row],[Aprobado OR]],
IF(EstadoSolicitudes[[#This Row],[Aprobado OR]]="Cancelado",EstadoSolicitudes[[#This Row],[Aprobado OR]],
IF(EstadoSolicitudes[[#This Row],[Cargue estudio al OR]]&gt;1,"Verificación Técnica",
IF(EstadoSolicitudes[[#This Row],[Fecha solicitud estudio]]&gt;1,"Estudio de conexión",
IF(EstadoSolicitudes[[#This Row],[Insumos revisados]]="No",IF(EstadoSolicitudes[[#This Row],[Fecha entrega insumos OR]]&gt;1,"Evolti","Espera de insumos"),
"Evolti")))))</f>
        <v>Evolti</v>
      </c>
      <c r="D429" s="135" t="s">
        <v>702</v>
      </c>
      <c r="F429" s="152">
        <v>21732</v>
      </c>
      <c r="G429" s="135" t="s">
        <v>227</v>
      </c>
      <c r="H429" s="46">
        <v>901432582</v>
      </c>
      <c r="I429" s="160" t="s">
        <v>537</v>
      </c>
      <c r="J429" s="48">
        <v>45835</v>
      </c>
      <c r="K429" s="49">
        <v>5065</v>
      </c>
      <c r="L429" s="50" t="s">
        <v>833</v>
      </c>
      <c r="M429" s="48">
        <v>45847</v>
      </c>
      <c r="N429" s="75" t="s">
        <v>229</v>
      </c>
      <c r="R429" s="72"/>
      <c r="S429" s="48"/>
      <c r="U429" s="48"/>
      <c r="V429" s="48"/>
    </row>
    <row r="430" spans="1:22" ht="15.75" hidden="1" customHeight="1" x14ac:dyDescent="0.25">
      <c r="A430" s="152">
        <f t="shared" si="24"/>
        <v>424</v>
      </c>
      <c r="B430" s="46" t="s">
        <v>834</v>
      </c>
      <c r="C430" s="46" t="s">
        <v>144</v>
      </c>
      <c r="D430" s="135" t="s">
        <v>702</v>
      </c>
      <c r="F430" s="152">
        <v>15170</v>
      </c>
      <c r="G430" s="135" t="s">
        <v>227</v>
      </c>
      <c r="H430" s="46">
        <v>901432582</v>
      </c>
      <c r="I430" s="160" t="s">
        <v>232</v>
      </c>
      <c r="J430" s="48">
        <v>45835</v>
      </c>
      <c r="K430" s="49">
        <v>5066</v>
      </c>
      <c r="L430" s="50" t="s">
        <v>732</v>
      </c>
      <c r="N430" s="75" t="s">
        <v>229</v>
      </c>
      <c r="R430" s="72"/>
      <c r="S430" s="48"/>
      <c r="U430" s="48"/>
      <c r="V430" s="48"/>
    </row>
    <row r="431" spans="1:22" hidden="1" x14ac:dyDescent="0.25">
      <c r="A431" s="152">
        <f t="shared" si="24"/>
        <v>425</v>
      </c>
      <c r="B431" s="46" t="s">
        <v>835</v>
      </c>
      <c r="C431" s="46" t="s">
        <v>144</v>
      </c>
      <c r="D431" s="135" t="s">
        <v>702</v>
      </c>
      <c r="F431" s="152">
        <v>15170</v>
      </c>
      <c r="G431" s="135" t="s">
        <v>227</v>
      </c>
      <c r="H431" s="46">
        <v>901432582</v>
      </c>
      <c r="I431" s="160" t="s">
        <v>831</v>
      </c>
      <c r="J431" s="48">
        <v>45835</v>
      </c>
      <c r="K431" s="49">
        <v>5067</v>
      </c>
      <c r="L431" s="50" t="s">
        <v>736</v>
      </c>
      <c r="N431" s="75" t="s">
        <v>229</v>
      </c>
      <c r="R431" s="72"/>
      <c r="S431" s="48"/>
      <c r="U431" s="48"/>
      <c r="V431" s="48"/>
    </row>
    <row r="432" spans="1:22" hidden="1" x14ac:dyDescent="0.25">
      <c r="A432" s="152">
        <f t="shared" si="24"/>
        <v>426</v>
      </c>
      <c r="B432" s="46" t="s">
        <v>836</v>
      </c>
      <c r="C432" s="46" t="s">
        <v>144</v>
      </c>
      <c r="D432" s="135" t="s">
        <v>702</v>
      </c>
      <c r="F432" s="152">
        <v>15170</v>
      </c>
      <c r="G432" s="135" t="s">
        <v>227</v>
      </c>
      <c r="H432" s="46">
        <v>901432582</v>
      </c>
      <c r="I432" s="160" t="s">
        <v>662</v>
      </c>
      <c r="J432" s="48">
        <v>45835</v>
      </c>
      <c r="K432" s="49">
        <v>5068</v>
      </c>
      <c r="L432" s="50" t="s">
        <v>777</v>
      </c>
      <c r="N432" s="75" t="s">
        <v>229</v>
      </c>
      <c r="R432" s="72"/>
      <c r="S432" s="48"/>
      <c r="U432" s="48"/>
      <c r="V432" s="48"/>
    </row>
    <row r="433" spans="1:22" hidden="1" x14ac:dyDescent="0.25">
      <c r="A433" s="152">
        <f t="shared" si="24"/>
        <v>427</v>
      </c>
      <c r="B433" s="46" t="s">
        <v>837</v>
      </c>
      <c r="C433" s="46" t="str">
        <f>+IF(EstadoSolicitudes[[#This Row],[Aprobado OR]]="Aprobado",EstadoSolicitudes[[#This Row],[Aprobado OR]],
IF(EstadoSolicitudes[[#This Row],[Aprobado OR]]="Cancelado",EstadoSolicitudes[[#This Row],[Aprobado OR]],
IF(EstadoSolicitudes[[#This Row],[Cargue estudio al OR]]&gt;1,"Verificación Técnica",
IF(EstadoSolicitudes[[#This Row],[Fecha solicitud estudio]]&gt;1,"Estudio de conexión",
IF(EstadoSolicitudes[[#This Row],[Insumos revisados]]="No",IF(EstadoSolicitudes[[#This Row],[Fecha entrega insumos OR]]&gt;1,"Evolti","Espera de insumos"),
"Evolti")))))</f>
        <v>Espera de insumos</v>
      </c>
      <c r="D433" s="135" t="s">
        <v>702</v>
      </c>
      <c r="F433" s="152">
        <v>21732</v>
      </c>
      <c r="G433" s="135" t="s">
        <v>227</v>
      </c>
      <c r="H433" s="46">
        <v>901432582</v>
      </c>
      <c r="I433" s="160" t="s">
        <v>232</v>
      </c>
      <c r="J433" s="48">
        <v>45835</v>
      </c>
      <c r="K433" s="49">
        <v>5069</v>
      </c>
      <c r="L433" s="50" t="s">
        <v>732</v>
      </c>
      <c r="N433" s="75" t="s">
        <v>229</v>
      </c>
      <c r="R433" s="72"/>
      <c r="S433" s="48"/>
      <c r="U433" s="48"/>
      <c r="V433" s="48"/>
    </row>
    <row r="434" spans="1:22" hidden="1" x14ac:dyDescent="0.25">
      <c r="A434" s="152">
        <f t="shared" si="24"/>
        <v>428</v>
      </c>
      <c r="B434" s="46" t="s">
        <v>838</v>
      </c>
      <c r="C434" s="46" t="str">
        <f>+IF(EstadoSolicitudes[[#This Row],[Aprobado OR]]="Aprobado",EstadoSolicitudes[[#This Row],[Aprobado OR]],
IF(EstadoSolicitudes[[#This Row],[Aprobado OR]]="Cancelado",EstadoSolicitudes[[#This Row],[Aprobado OR]],
IF(EstadoSolicitudes[[#This Row],[Cargue estudio al OR]]&gt;1,"Verificación Técnica",
IF(EstadoSolicitudes[[#This Row],[Fecha solicitud estudio]]&gt;1,"Estudio de conexión",
IF(EstadoSolicitudes[[#This Row],[Insumos revisados]]="No",IF(EstadoSolicitudes[[#This Row],[Fecha entrega insumos OR]]&gt;1,"Evolti","Espera de insumos"),
"Evolti")))))</f>
        <v>Espera de insumos</v>
      </c>
      <c r="D434" s="135" t="s">
        <v>702</v>
      </c>
      <c r="F434" s="152">
        <v>21732</v>
      </c>
      <c r="G434" s="135" t="s">
        <v>227</v>
      </c>
      <c r="H434" s="46">
        <v>901432582</v>
      </c>
      <c r="I434" s="160" t="s">
        <v>831</v>
      </c>
      <c r="J434" s="48">
        <v>45835</v>
      </c>
      <c r="K434" s="49">
        <v>5070</v>
      </c>
      <c r="L434" s="50" t="s">
        <v>736</v>
      </c>
      <c r="N434" s="75" t="s">
        <v>229</v>
      </c>
      <c r="R434" s="72"/>
      <c r="S434" s="48"/>
      <c r="U434" s="48"/>
      <c r="V434" s="48"/>
    </row>
    <row r="435" spans="1:22" ht="15.75" hidden="1" customHeight="1" x14ac:dyDescent="0.25">
      <c r="A435" s="152">
        <f t="shared" si="24"/>
        <v>429</v>
      </c>
      <c r="B435" s="46" t="s">
        <v>839</v>
      </c>
      <c r="C435" s="46" t="str">
        <f>+IF(EstadoSolicitudes[[#This Row],[Aprobado OR]]="Aprobado",EstadoSolicitudes[[#This Row],[Aprobado OR]],
IF(EstadoSolicitudes[[#This Row],[Aprobado OR]]="Cancelado",EstadoSolicitudes[[#This Row],[Aprobado OR]],
IF(EstadoSolicitudes[[#This Row],[Cargue estudio al OR]]&gt;1,"Verificación Técnica",
IF(EstadoSolicitudes[[#This Row],[Fecha solicitud estudio]]&gt;1,"Estudio de conexión",
IF(EstadoSolicitudes[[#This Row],[Insumos revisados]]="No",IF(EstadoSolicitudes[[#This Row],[Fecha entrega insumos OR]]&gt;1,"Evolti","Espera de insumos"),
"Evolti")))))</f>
        <v>Espera de insumos</v>
      </c>
      <c r="D435" s="135" t="s">
        <v>702</v>
      </c>
      <c r="F435" s="152">
        <v>21732</v>
      </c>
      <c r="G435" s="135" t="s">
        <v>227</v>
      </c>
      <c r="H435" s="46">
        <v>901432582</v>
      </c>
      <c r="I435" s="160" t="s">
        <v>671</v>
      </c>
      <c r="J435" s="48">
        <v>45835</v>
      </c>
      <c r="K435" s="49">
        <v>5071</v>
      </c>
      <c r="L435" s="50" t="s">
        <v>840</v>
      </c>
      <c r="N435" s="75" t="s">
        <v>229</v>
      </c>
      <c r="R435" s="72"/>
      <c r="S435" s="48"/>
      <c r="U435" s="48"/>
      <c r="V435" s="48"/>
    </row>
    <row r="436" spans="1:22" hidden="1" x14ac:dyDescent="0.25">
      <c r="A436" s="152">
        <f t="shared" ref="A436:A500" si="25">+A435+1</f>
        <v>430</v>
      </c>
      <c r="B436" s="46" t="s">
        <v>841</v>
      </c>
      <c r="C436" s="46" t="str">
        <f>+IF(EstadoSolicitudes[[#This Row],[Aprobado OR]]="Aprobado",EstadoSolicitudes[[#This Row],[Aprobado OR]],
IF(EstadoSolicitudes[[#This Row],[Aprobado OR]]="Cancelado",EstadoSolicitudes[[#This Row],[Aprobado OR]],
IF(EstadoSolicitudes[[#This Row],[Cargue estudio al OR]]&gt;1,"Verificación Técnica",
IF(EstadoSolicitudes[[#This Row],[Fecha solicitud estudio]]&gt;1,"Estudio de conexión",
IF(EstadoSolicitudes[[#This Row],[Insumos revisados]]="No",IF(EstadoSolicitudes[[#This Row],[Fecha entrega insumos OR]]&gt;1,"Evolti","Espera de insumos"),
"Evolti")))))</f>
        <v>Espera de insumos</v>
      </c>
      <c r="D436" s="135" t="s">
        <v>161</v>
      </c>
      <c r="G436" s="135" t="s">
        <v>227</v>
      </c>
      <c r="H436" s="46">
        <v>901432582</v>
      </c>
      <c r="I436" s="160" t="s">
        <v>232</v>
      </c>
      <c r="J436" s="48">
        <v>45841</v>
      </c>
      <c r="K436" s="49">
        <v>65125093</v>
      </c>
      <c r="L436" s="50" t="s">
        <v>842</v>
      </c>
      <c r="N436" s="75" t="s">
        <v>229</v>
      </c>
      <c r="R436" s="72"/>
      <c r="S436" s="48"/>
      <c r="U436" s="48"/>
      <c r="V436" s="48"/>
    </row>
    <row r="437" spans="1:22" hidden="1" x14ac:dyDescent="0.25">
      <c r="A437" s="152">
        <f>+A436+1</f>
        <v>431</v>
      </c>
      <c r="B437" s="46" t="s">
        <v>843</v>
      </c>
      <c r="C437" s="46" t="str">
        <f>+IF(EstadoSolicitudes[[#This Row],[Aprobado OR]]="Aprobado",EstadoSolicitudes[[#This Row],[Aprobado OR]],
IF(EstadoSolicitudes[[#This Row],[Aprobado OR]]="Cancelado",EstadoSolicitudes[[#This Row],[Aprobado OR]],
IF(EstadoSolicitudes[[#This Row],[Cargue estudio al OR]]&gt;1,"Verificación Técnica",
IF(EstadoSolicitudes[[#This Row],[Fecha solicitud estudio]]&gt;1,"Estudio de conexión",
IF(EstadoSolicitudes[[#This Row],[Insumos revisados]]="No",IF(EstadoSolicitudes[[#This Row],[Fecha entrega insumos OR]]&gt;1,"Evolti","Espera de insumos"),
"Evolti")))))</f>
        <v>Espera de insumos</v>
      </c>
      <c r="D437" s="135" t="s">
        <v>161</v>
      </c>
      <c r="G437" s="135" t="s">
        <v>227</v>
      </c>
      <c r="H437" s="46">
        <v>901432582</v>
      </c>
      <c r="I437" s="160" t="s">
        <v>232</v>
      </c>
      <c r="J437" s="48">
        <v>45841</v>
      </c>
      <c r="K437" s="49">
        <v>65125482</v>
      </c>
      <c r="L437" s="50" t="s">
        <v>844</v>
      </c>
      <c r="N437" s="75" t="s">
        <v>229</v>
      </c>
      <c r="R437" s="72"/>
      <c r="S437" s="48"/>
      <c r="U437" s="48"/>
      <c r="V437" s="48"/>
    </row>
    <row r="438" spans="1:22" hidden="1" x14ac:dyDescent="0.25">
      <c r="A438" s="152">
        <f>+A437+1</f>
        <v>432</v>
      </c>
      <c r="B438" s="46" t="s">
        <v>845</v>
      </c>
      <c r="C438" s="46" t="str">
        <f>+IF(EstadoSolicitudes[[#This Row],[Aprobado OR]]="Aprobado",EstadoSolicitudes[[#This Row],[Aprobado OR]],
IF(EstadoSolicitudes[[#This Row],[Aprobado OR]]="Cancelado",EstadoSolicitudes[[#This Row],[Aprobado OR]],
IF(EstadoSolicitudes[[#This Row],[Cargue estudio al OR]]&gt;1,"Verificación Técnica",
IF(EstadoSolicitudes[[#This Row],[Fecha solicitud estudio]]&gt;1,"Estudio de conexión",
IF(EstadoSolicitudes[[#This Row],[Insumos revisados]]="No",IF(EstadoSolicitudes[[#This Row],[Fecha entrega insumos OR]]&gt;1,"Evolti","Espera de insumos"),
"Evolti")))))</f>
        <v>Espera de insumos</v>
      </c>
      <c r="D438" s="135" t="s">
        <v>161</v>
      </c>
      <c r="G438" s="135" t="s">
        <v>227</v>
      </c>
      <c r="H438" s="46">
        <v>901432582</v>
      </c>
      <c r="I438" s="160" t="s">
        <v>232</v>
      </c>
      <c r="J438" s="48">
        <v>45841</v>
      </c>
      <c r="K438" s="49">
        <v>65126072</v>
      </c>
      <c r="L438" s="50" t="s">
        <v>846</v>
      </c>
      <c r="N438" s="75" t="s">
        <v>229</v>
      </c>
      <c r="R438" s="72"/>
      <c r="S438" s="48"/>
      <c r="U438" s="48"/>
      <c r="V438" s="48"/>
    </row>
    <row r="439" spans="1:22" hidden="1" x14ac:dyDescent="0.25">
      <c r="A439" s="152">
        <f t="shared" si="25"/>
        <v>433</v>
      </c>
      <c r="B439" s="46" t="s">
        <v>847</v>
      </c>
      <c r="C439" s="46" t="str">
        <f>+IF(EstadoSolicitudes[[#This Row],[Aprobado OR]]="Aprobado",EstadoSolicitudes[[#This Row],[Aprobado OR]],
IF(EstadoSolicitudes[[#This Row],[Aprobado OR]]="Cancelado",EstadoSolicitudes[[#This Row],[Aprobado OR]],
IF(EstadoSolicitudes[[#This Row],[Cargue estudio al OR]]&gt;1,"Verificación Técnica",
IF(EstadoSolicitudes[[#This Row],[Fecha solicitud estudio]]&gt;1,"Estudio de conexión",
IF(EstadoSolicitudes[[#This Row],[Insumos revisados]]="No",IF(EstadoSolicitudes[[#This Row],[Fecha entrega insumos OR]]&gt;1,"Evolti","Espera de insumos"),
"Evolti")))))</f>
        <v>Espera de insumos</v>
      </c>
      <c r="D439" s="135" t="s">
        <v>153</v>
      </c>
      <c r="F439" s="152" t="s">
        <v>549</v>
      </c>
      <c r="G439" s="135" t="s">
        <v>227</v>
      </c>
      <c r="H439" s="46">
        <v>901432582</v>
      </c>
      <c r="I439" s="160" t="s">
        <v>232</v>
      </c>
      <c r="J439" s="48">
        <v>45841</v>
      </c>
      <c r="K439" s="49">
        <v>4421</v>
      </c>
      <c r="L439" s="50" t="s">
        <v>241</v>
      </c>
      <c r="N439" s="75" t="s">
        <v>229</v>
      </c>
      <c r="R439" s="72"/>
      <c r="S439" s="48"/>
      <c r="U439" s="48"/>
      <c r="V439" s="48"/>
    </row>
    <row r="440" spans="1:22" hidden="1" x14ac:dyDescent="0.25">
      <c r="A440" s="152">
        <f>+A439+1</f>
        <v>434</v>
      </c>
      <c r="B440" s="46" t="s">
        <v>848</v>
      </c>
      <c r="C440" s="46" t="str">
        <f>+IF(EstadoSolicitudes[[#This Row],[Aprobado OR]]="Aprobado",EstadoSolicitudes[[#This Row],[Aprobado OR]],
IF(EstadoSolicitudes[[#This Row],[Aprobado OR]]="Cancelado",EstadoSolicitudes[[#This Row],[Aprobado OR]],
IF(EstadoSolicitudes[[#This Row],[Cargue estudio al OR]]&gt;1,"Verificación Técnica",
IF(EstadoSolicitudes[[#This Row],[Fecha solicitud estudio]]&gt;1,"Estudio de conexión",
IF(EstadoSolicitudes[[#This Row],[Insumos revisados]]="No",IF(EstadoSolicitudes[[#This Row],[Fecha entrega insumos OR]]&gt;1,"Evolti","Espera de insumos"),
"Evolti")))))</f>
        <v>Espera de insumos</v>
      </c>
      <c r="D440" s="135" t="s">
        <v>153</v>
      </c>
      <c r="F440" s="152" t="s">
        <v>549</v>
      </c>
      <c r="G440" s="135" t="s">
        <v>227</v>
      </c>
      <c r="H440" s="46">
        <v>901432582</v>
      </c>
      <c r="I440" s="160" t="s">
        <v>232</v>
      </c>
      <c r="J440" s="48">
        <v>45841</v>
      </c>
      <c r="K440" s="49">
        <v>4422</v>
      </c>
      <c r="L440" s="50" t="s">
        <v>268</v>
      </c>
      <c r="N440" s="75" t="s">
        <v>229</v>
      </c>
      <c r="R440" s="72"/>
      <c r="S440" s="48"/>
      <c r="U440" s="48"/>
      <c r="V440" s="48"/>
    </row>
    <row r="441" spans="1:22" hidden="1" x14ac:dyDescent="0.25">
      <c r="A441" s="152">
        <f>+A440+1</f>
        <v>435</v>
      </c>
      <c r="B441" s="46" t="s">
        <v>849</v>
      </c>
      <c r="C441" s="46" t="str">
        <f>+IF(EstadoSolicitudes[[#This Row],[Aprobado OR]]="Aprobado",EstadoSolicitudes[[#This Row],[Aprobado OR]],
IF(EstadoSolicitudes[[#This Row],[Aprobado OR]]="Cancelado",EstadoSolicitudes[[#This Row],[Aprobado OR]],
IF(EstadoSolicitudes[[#This Row],[Cargue estudio al OR]]&gt;1,"Verificación Técnica",
IF(EstadoSolicitudes[[#This Row],[Fecha solicitud estudio]]&gt;1,"Estudio de conexión",
IF(EstadoSolicitudes[[#This Row],[Insumos revisados]]="No",IF(EstadoSolicitudes[[#This Row],[Fecha entrega insumos OR]]&gt;1,"Evolti","Espera de insumos"),
"Evolti")))))</f>
        <v>Espera de insumos</v>
      </c>
      <c r="D441" s="135" t="s">
        <v>153</v>
      </c>
      <c r="F441" s="152" t="s">
        <v>549</v>
      </c>
      <c r="G441" s="135" t="s">
        <v>227</v>
      </c>
      <c r="H441" s="46">
        <v>901432582</v>
      </c>
      <c r="I441" s="160" t="s">
        <v>232</v>
      </c>
      <c r="J441" s="48">
        <v>45841</v>
      </c>
      <c r="K441" s="49">
        <v>4423</v>
      </c>
      <c r="L441" s="50" t="s">
        <v>538</v>
      </c>
      <c r="N441" s="75" t="s">
        <v>229</v>
      </c>
      <c r="R441" s="72"/>
      <c r="S441" s="48"/>
      <c r="U441" s="48"/>
      <c r="V441" s="48"/>
    </row>
    <row r="442" spans="1:22" hidden="1" x14ac:dyDescent="0.25">
      <c r="A442" s="152">
        <f t="shared" si="25"/>
        <v>436</v>
      </c>
      <c r="B442" s="46" t="s">
        <v>850</v>
      </c>
      <c r="C442" s="46" t="str">
        <f>+IF(EstadoSolicitudes[[#This Row],[Aprobado OR]]="Aprobado",EstadoSolicitudes[[#This Row],[Aprobado OR]],
IF(EstadoSolicitudes[[#This Row],[Aprobado OR]]="Cancelado",EstadoSolicitudes[[#This Row],[Aprobado OR]],
IF(EstadoSolicitudes[[#This Row],[Cargue estudio al OR]]&gt;1,"Verificación Técnica",
IF(EstadoSolicitudes[[#This Row],[Fecha solicitud estudio]]&gt;1,"Estudio de conexión",
IF(EstadoSolicitudes[[#This Row],[Insumos revisados]]="No",IF(EstadoSolicitudes[[#This Row],[Fecha entrega insumos OR]]&gt;1,"Evolti","Espera de insumos"),
"Evolti")))))</f>
        <v>Espera de insumos</v>
      </c>
      <c r="D442" s="46" t="s">
        <v>161</v>
      </c>
      <c r="E442" s="152" t="s">
        <v>851</v>
      </c>
      <c r="F442" s="152">
        <v>70501</v>
      </c>
      <c r="G442" s="135" t="s">
        <v>227</v>
      </c>
      <c r="H442" s="46">
        <v>901432582</v>
      </c>
      <c r="I442" s="160" t="s">
        <v>232</v>
      </c>
      <c r="J442" s="48">
        <v>45841</v>
      </c>
      <c r="K442" s="49">
        <v>65132937</v>
      </c>
      <c r="L442" s="50"/>
      <c r="N442" s="75" t="s">
        <v>229</v>
      </c>
      <c r="R442" s="72"/>
      <c r="S442" s="48"/>
      <c r="U442" s="48"/>
      <c r="V442" s="48"/>
    </row>
    <row r="443" spans="1:22" hidden="1" x14ac:dyDescent="0.25">
      <c r="A443" s="152">
        <f t="shared" si="25"/>
        <v>437</v>
      </c>
      <c r="B443" s="46" t="s">
        <v>852</v>
      </c>
      <c r="C443" s="46" t="str">
        <f>+IF(EstadoSolicitudes[[#This Row],[Aprobado OR]]="Aprobado",EstadoSolicitudes[[#This Row],[Aprobado OR]],
IF(EstadoSolicitudes[[#This Row],[Aprobado OR]]="Cancelado",EstadoSolicitudes[[#This Row],[Aprobado OR]],
IF(EstadoSolicitudes[[#This Row],[Cargue estudio al OR]]&gt;1,"Verificación Técnica",
IF(EstadoSolicitudes[[#This Row],[Fecha solicitud estudio]]&gt;1,"Estudio de conexión",
IF(EstadoSolicitudes[[#This Row],[Insumos revisados]]="No",IF(EstadoSolicitudes[[#This Row],[Fecha entrega insumos OR]]&gt;1,"Evolti","Espera de insumos"),
"Evolti")))))</f>
        <v>Espera de insumos</v>
      </c>
      <c r="D443" s="46" t="s">
        <v>161</v>
      </c>
      <c r="E443" s="152" t="s">
        <v>851</v>
      </c>
      <c r="F443" s="152">
        <v>70501</v>
      </c>
      <c r="G443" s="135" t="s">
        <v>227</v>
      </c>
      <c r="H443" s="46">
        <v>901432582</v>
      </c>
      <c r="I443" s="160" t="s">
        <v>232</v>
      </c>
      <c r="J443" s="48">
        <v>45841</v>
      </c>
      <c r="K443" s="49">
        <v>65157326</v>
      </c>
      <c r="L443" s="50" t="s">
        <v>853</v>
      </c>
      <c r="N443" s="75" t="s">
        <v>229</v>
      </c>
      <c r="R443" s="72"/>
      <c r="S443" s="48"/>
      <c r="U443" s="48"/>
      <c r="V443" s="48"/>
    </row>
    <row r="444" spans="1:22" hidden="1" x14ac:dyDescent="0.25">
      <c r="A444" s="152">
        <f t="shared" si="25"/>
        <v>438</v>
      </c>
      <c r="B444" s="46" t="s">
        <v>854</v>
      </c>
      <c r="C444" s="46" t="str">
        <f>+IF(EstadoSolicitudes[[#This Row],[Aprobado OR]]="Aprobado",EstadoSolicitudes[[#This Row],[Aprobado OR]],
IF(EstadoSolicitudes[[#This Row],[Aprobado OR]]="Cancelado",EstadoSolicitudes[[#This Row],[Aprobado OR]],
IF(EstadoSolicitudes[[#This Row],[Cargue estudio al OR]]&gt;1,"Verificación Técnica",
IF(EstadoSolicitudes[[#This Row],[Fecha solicitud estudio]]&gt;1,"Estudio de conexión",
IF(EstadoSolicitudes[[#This Row],[Insumos revisados]]="No",IF(EstadoSolicitudes[[#This Row],[Fecha entrega insumos OR]]&gt;1,"Evolti","Espera de insumos"),
"Evolti")))))</f>
        <v>Espera de insumos</v>
      </c>
      <c r="D444" s="46" t="s">
        <v>161</v>
      </c>
      <c r="E444" s="152" t="s">
        <v>851</v>
      </c>
      <c r="F444" s="152">
        <v>70501</v>
      </c>
      <c r="G444" s="135" t="s">
        <v>227</v>
      </c>
      <c r="H444" s="46">
        <v>901432582</v>
      </c>
      <c r="I444" s="160" t="s">
        <v>232</v>
      </c>
      <c r="J444" s="48">
        <v>45841</v>
      </c>
      <c r="K444" s="49">
        <v>65157611</v>
      </c>
      <c r="L444" s="50" t="s">
        <v>855</v>
      </c>
      <c r="N444" s="75" t="s">
        <v>229</v>
      </c>
      <c r="R444" s="72"/>
      <c r="S444" s="48"/>
      <c r="U444" s="48"/>
      <c r="V444" s="48"/>
    </row>
    <row r="445" spans="1:22" hidden="1" x14ac:dyDescent="0.25">
      <c r="A445" s="152">
        <f t="shared" si="25"/>
        <v>439</v>
      </c>
      <c r="B445" s="46" t="s">
        <v>856</v>
      </c>
      <c r="C445" s="46" t="str">
        <f>+IF(EstadoSolicitudes[[#This Row],[Aprobado OR]]="Aprobado",EstadoSolicitudes[[#This Row],[Aprobado OR]],
IF(EstadoSolicitudes[[#This Row],[Aprobado OR]]="Cancelado",EstadoSolicitudes[[#This Row],[Aprobado OR]],
IF(EstadoSolicitudes[[#This Row],[Cargue estudio al OR]]&gt;1,"Verificación Técnica",
IF(EstadoSolicitudes[[#This Row],[Fecha solicitud estudio]]&gt;1,"Estudio de conexión",
IF(EstadoSolicitudes[[#This Row],[Insumos revisados]]="No",IF(EstadoSolicitudes[[#This Row],[Fecha entrega insumos OR]]&gt;1,"Evolti","Espera de insumos"),
"Evolti")))))</f>
        <v>Espera de insumos</v>
      </c>
      <c r="D445" s="46" t="s">
        <v>857</v>
      </c>
      <c r="G445" s="135" t="s">
        <v>227</v>
      </c>
      <c r="H445" s="46">
        <v>901432582</v>
      </c>
      <c r="I445" s="160" t="s">
        <v>232</v>
      </c>
      <c r="J445" s="48">
        <v>45841</v>
      </c>
      <c r="K445" s="49">
        <v>2149</v>
      </c>
      <c r="L445" s="50"/>
      <c r="N445" s="75" t="s">
        <v>229</v>
      </c>
      <c r="R445" s="72"/>
      <c r="S445" s="48"/>
      <c r="U445" s="48"/>
      <c r="V445" s="48"/>
    </row>
    <row r="446" spans="1:22" hidden="1" x14ac:dyDescent="0.25">
      <c r="A446" s="152">
        <f>+A445+1</f>
        <v>440</v>
      </c>
      <c r="B446" s="46" t="s">
        <v>858</v>
      </c>
      <c r="C446" s="46" t="str">
        <f>+IF(EstadoSolicitudes[[#This Row],[Aprobado OR]]="Aprobado",EstadoSolicitudes[[#This Row],[Aprobado OR]],
IF(EstadoSolicitudes[[#This Row],[Aprobado OR]]="Cancelado",EstadoSolicitudes[[#This Row],[Aprobado OR]],
IF(EstadoSolicitudes[[#This Row],[Cargue estudio al OR]]&gt;1,"Verificación Técnica",
IF(EstadoSolicitudes[[#This Row],[Fecha solicitud estudio]]&gt;1,"Estudio de conexión",
IF(EstadoSolicitudes[[#This Row],[Insumos revisados]]="No",IF(EstadoSolicitudes[[#This Row],[Fecha entrega insumos OR]]&gt;1,"Evolti","Espera de insumos"),
"Evolti")))))</f>
        <v>Espera de insumos</v>
      </c>
      <c r="D446" s="46" t="s">
        <v>857</v>
      </c>
      <c r="G446" s="135" t="s">
        <v>227</v>
      </c>
      <c r="H446" s="46">
        <v>901432582</v>
      </c>
      <c r="I446" s="160" t="s">
        <v>232</v>
      </c>
      <c r="J446" s="48">
        <v>45841</v>
      </c>
      <c r="K446" s="49">
        <v>2150</v>
      </c>
      <c r="L446" s="50"/>
      <c r="N446" s="75" t="s">
        <v>229</v>
      </c>
      <c r="R446" s="72"/>
      <c r="S446" s="48"/>
      <c r="U446" s="48"/>
      <c r="V446" s="48"/>
    </row>
    <row r="447" spans="1:22" hidden="1" x14ac:dyDescent="0.25">
      <c r="A447" s="152">
        <f t="shared" si="25"/>
        <v>441</v>
      </c>
      <c r="B447" s="46" t="s">
        <v>859</v>
      </c>
      <c r="C447" s="46" t="str">
        <f>+IF(EstadoSolicitudes[[#This Row],[Aprobado OR]]="Aprobado",EstadoSolicitudes[[#This Row],[Aprobado OR]],
IF(EstadoSolicitudes[[#This Row],[Aprobado OR]]="Cancelado",EstadoSolicitudes[[#This Row],[Aprobado OR]],
IF(EstadoSolicitudes[[#This Row],[Cargue estudio al OR]]&gt;1,"Verificación Técnica",
IF(EstadoSolicitudes[[#This Row],[Fecha solicitud estudio]]&gt;1,"Estudio de conexión",
IF(EstadoSolicitudes[[#This Row],[Insumos revisados]]="No",IF(EstadoSolicitudes[[#This Row],[Fecha entrega insumos OR]]&gt;1,"Evolti","Espera de insumos"),
"Evolti")))))</f>
        <v>Espera de insumos</v>
      </c>
      <c r="D447" s="46" t="s">
        <v>157</v>
      </c>
      <c r="F447" s="152" t="s">
        <v>860</v>
      </c>
      <c r="G447" s="135" t="s">
        <v>227</v>
      </c>
      <c r="H447" s="46">
        <v>901432582</v>
      </c>
      <c r="I447" s="160" t="s">
        <v>232</v>
      </c>
      <c r="J447" s="48">
        <v>45842</v>
      </c>
      <c r="K447" s="49">
        <v>3050</v>
      </c>
      <c r="L447" s="50" t="s">
        <v>861</v>
      </c>
      <c r="N447" s="75" t="s">
        <v>229</v>
      </c>
      <c r="R447" s="72"/>
      <c r="S447" s="48"/>
      <c r="U447" s="48"/>
      <c r="V447" s="48"/>
    </row>
    <row r="448" spans="1:22" hidden="1" x14ac:dyDescent="0.25">
      <c r="A448" s="152">
        <f>+A447+1</f>
        <v>442</v>
      </c>
      <c r="B448" s="46" t="s">
        <v>862</v>
      </c>
      <c r="C448" s="46" t="str">
        <f>+IF(EstadoSolicitudes[[#This Row],[Aprobado OR]]="Aprobado",EstadoSolicitudes[[#This Row],[Aprobado OR]],
IF(EstadoSolicitudes[[#This Row],[Aprobado OR]]="Cancelado",EstadoSolicitudes[[#This Row],[Aprobado OR]],
IF(EstadoSolicitudes[[#This Row],[Cargue estudio al OR]]&gt;1,"Verificación Técnica",
IF(EstadoSolicitudes[[#This Row],[Fecha solicitud estudio]]&gt;1,"Estudio de conexión",
IF(EstadoSolicitudes[[#This Row],[Insumos revisados]]="No",IF(EstadoSolicitudes[[#This Row],[Fecha entrega insumos OR]]&gt;1,"Evolti","Espera de insumos"),
"Evolti")))))</f>
        <v>Espera de insumos</v>
      </c>
      <c r="D448" s="46" t="s">
        <v>157</v>
      </c>
      <c r="F448" s="152" t="s">
        <v>860</v>
      </c>
      <c r="G448" s="135" t="s">
        <v>227</v>
      </c>
      <c r="H448" s="46">
        <v>901432582</v>
      </c>
      <c r="I448" s="160" t="s">
        <v>267</v>
      </c>
      <c r="J448" s="48">
        <v>45842</v>
      </c>
      <c r="K448" s="49">
        <v>3051</v>
      </c>
      <c r="L448" s="50" t="s">
        <v>863</v>
      </c>
      <c r="N448" s="75" t="s">
        <v>229</v>
      </c>
      <c r="R448" s="72"/>
      <c r="S448" s="48"/>
      <c r="U448" s="48"/>
      <c r="V448" s="48"/>
    </row>
    <row r="449" spans="1:22" hidden="1" x14ac:dyDescent="0.25">
      <c r="A449" s="152">
        <f>+A448+1</f>
        <v>443</v>
      </c>
      <c r="B449" s="46" t="s">
        <v>864</v>
      </c>
      <c r="C449" s="46" t="str">
        <f>+IF(EstadoSolicitudes[[#This Row],[Aprobado OR]]="Aprobado",EstadoSolicitudes[[#This Row],[Aprobado OR]],
IF(EstadoSolicitudes[[#This Row],[Aprobado OR]]="Cancelado",EstadoSolicitudes[[#This Row],[Aprobado OR]],
IF(EstadoSolicitudes[[#This Row],[Cargue estudio al OR]]&gt;1,"Verificación Técnica",
IF(EstadoSolicitudes[[#This Row],[Fecha solicitud estudio]]&gt;1,"Estudio de conexión",
IF(EstadoSolicitudes[[#This Row],[Insumos revisados]]="No",IF(EstadoSolicitudes[[#This Row],[Fecha entrega insumos OR]]&gt;1,"Evolti","Espera de insumos"),
"Evolti")))))</f>
        <v>Espera de insumos</v>
      </c>
      <c r="D449" s="46" t="s">
        <v>157</v>
      </c>
      <c r="F449" s="152" t="s">
        <v>860</v>
      </c>
      <c r="G449" s="135" t="s">
        <v>227</v>
      </c>
      <c r="H449" s="46">
        <v>901432582</v>
      </c>
      <c r="I449" s="160" t="s">
        <v>537</v>
      </c>
      <c r="J449" s="48">
        <v>45842</v>
      </c>
      <c r="K449" s="49">
        <v>3052</v>
      </c>
      <c r="L449" s="50" t="s">
        <v>865</v>
      </c>
      <c r="N449" s="75" t="s">
        <v>229</v>
      </c>
      <c r="R449" s="72"/>
      <c r="S449" s="48"/>
      <c r="U449" s="48"/>
      <c r="V449" s="48"/>
    </row>
    <row r="450" spans="1:22" hidden="1" x14ac:dyDescent="0.25">
      <c r="A450" s="152">
        <f t="shared" si="25"/>
        <v>444</v>
      </c>
      <c r="B450" s="46" t="s">
        <v>866</v>
      </c>
      <c r="C450" s="46" t="str">
        <f>+IF(EstadoSolicitudes[[#This Row],[Aprobado OR]]="Aprobado",EstadoSolicitudes[[#This Row],[Aprobado OR]],
IF(EstadoSolicitudes[[#This Row],[Aprobado OR]]="Cancelado",EstadoSolicitudes[[#This Row],[Aprobado OR]],
IF(EstadoSolicitudes[[#This Row],[Cargue estudio al OR]]&gt;1,"Verificación Técnica",
IF(EstadoSolicitudes[[#This Row],[Fecha solicitud estudio]]&gt;1,"Estudio de conexión",
IF(EstadoSolicitudes[[#This Row],[Insumos revisados]]="No",IF(EstadoSolicitudes[[#This Row],[Fecha entrega insumos OR]]&gt;1,"Evolti","Espera de insumos"),
"Evolti")))))</f>
        <v>Espera de insumos</v>
      </c>
      <c r="D450" s="46" t="s">
        <v>158</v>
      </c>
      <c r="G450" s="135" t="s">
        <v>227</v>
      </c>
      <c r="H450" s="46">
        <v>901432582</v>
      </c>
      <c r="I450" s="160" t="s">
        <v>232</v>
      </c>
      <c r="J450" s="48">
        <v>45845</v>
      </c>
      <c r="K450" s="49">
        <v>814730485</v>
      </c>
      <c r="L450" s="50"/>
      <c r="N450" s="75" t="s">
        <v>229</v>
      </c>
      <c r="R450" s="72"/>
      <c r="S450" s="48"/>
      <c r="U450" s="48"/>
      <c r="V450" s="48"/>
    </row>
    <row r="451" spans="1:22" hidden="1" x14ac:dyDescent="0.25">
      <c r="A451" s="152">
        <f t="shared" si="25"/>
        <v>445</v>
      </c>
      <c r="B451" s="46" t="s">
        <v>867</v>
      </c>
      <c r="C451" s="46" t="str">
        <f>+IF(EstadoSolicitudes[[#This Row],[Aprobado OR]]="Aprobado",EstadoSolicitudes[[#This Row],[Aprobado OR]],
IF(EstadoSolicitudes[[#This Row],[Aprobado OR]]="Cancelado",EstadoSolicitudes[[#This Row],[Aprobado OR]],
IF(EstadoSolicitudes[[#This Row],[Cargue estudio al OR]]&gt;1,"Verificación Técnica",
IF(EstadoSolicitudes[[#This Row],[Fecha solicitud estudio]]&gt;1,"Estudio de conexión",
IF(EstadoSolicitudes[[#This Row],[Insumos revisados]]="No",IF(EstadoSolicitudes[[#This Row],[Fecha entrega insumos OR]]&gt;1,"Evolti","Espera de insumos"),
"Evolti")))))</f>
        <v>Espera de insumos</v>
      </c>
      <c r="D451" s="46" t="s">
        <v>158</v>
      </c>
      <c r="G451" s="135" t="s">
        <v>227</v>
      </c>
      <c r="H451" s="46">
        <v>901432582</v>
      </c>
      <c r="I451" s="160" t="s">
        <v>232</v>
      </c>
      <c r="J451" s="48">
        <v>45845</v>
      </c>
      <c r="K451" s="49">
        <v>814738662</v>
      </c>
      <c r="L451" s="50"/>
      <c r="N451" s="75" t="s">
        <v>229</v>
      </c>
      <c r="R451" s="72"/>
      <c r="S451" s="48"/>
      <c r="U451" s="48"/>
      <c r="V451" s="48"/>
    </row>
    <row r="452" spans="1:22" hidden="1" x14ac:dyDescent="0.25">
      <c r="A452" s="152">
        <f t="shared" si="25"/>
        <v>446</v>
      </c>
      <c r="B452" s="46" t="s">
        <v>868</v>
      </c>
      <c r="C452" s="46" t="str">
        <f>+IF(EstadoSolicitudes[[#This Row],[Aprobado OR]]="Aprobado",EstadoSolicitudes[[#This Row],[Aprobado OR]],
IF(EstadoSolicitudes[[#This Row],[Aprobado OR]]="Cancelado",EstadoSolicitudes[[#This Row],[Aprobado OR]],
IF(EstadoSolicitudes[[#This Row],[Cargue estudio al OR]]&gt;1,"Verificación Técnica",
IF(EstadoSolicitudes[[#This Row],[Fecha solicitud estudio]]&gt;1,"Estudio de conexión",
IF(EstadoSolicitudes[[#This Row],[Insumos revisados]]="No",IF(EstadoSolicitudes[[#This Row],[Fecha entrega insumos OR]]&gt;1,"Evolti","Espera de insumos"),
"Evolti")))))</f>
        <v>Espera de insumos</v>
      </c>
      <c r="D452" s="46" t="s">
        <v>158</v>
      </c>
      <c r="G452" s="135" t="s">
        <v>227</v>
      </c>
      <c r="H452" s="46">
        <v>901432582</v>
      </c>
      <c r="I452" s="160" t="s">
        <v>232</v>
      </c>
      <c r="J452" s="48">
        <v>45845</v>
      </c>
      <c r="K452" s="49">
        <v>814747764</v>
      </c>
      <c r="L452" s="50"/>
      <c r="N452" s="75" t="s">
        <v>229</v>
      </c>
      <c r="R452" s="72"/>
      <c r="S452" s="48"/>
      <c r="U452" s="48"/>
      <c r="V452" s="48"/>
    </row>
    <row r="453" spans="1:22" hidden="1" x14ac:dyDescent="0.25">
      <c r="A453" s="152">
        <f t="shared" si="25"/>
        <v>447</v>
      </c>
      <c r="B453" s="46" t="s">
        <v>869</v>
      </c>
      <c r="C453" s="46" t="str">
        <f>+IF(EstadoSolicitudes[[#This Row],[Aprobado OR]]="Aprobado",EstadoSolicitudes[[#This Row],[Aprobado OR]],
IF(EstadoSolicitudes[[#This Row],[Aprobado OR]]="Cancelado",EstadoSolicitudes[[#This Row],[Aprobado OR]],
IF(EstadoSolicitudes[[#This Row],[Cargue estudio al OR]]&gt;1,"Verificación Técnica",
IF(EstadoSolicitudes[[#This Row],[Fecha solicitud estudio]]&gt;1,"Estudio de conexión",
IF(EstadoSolicitudes[[#This Row],[Insumos revisados]]="No",IF(EstadoSolicitudes[[#This Row],[Fecha entrega insumos OR]]&gt;1,"Evolti","Espera de insumos"),
"Evolti")))))</f>
        <v>Espera de insumos</v>
      </c>
      <c r="D453" s="46" t="s">
        <v>159</v>
      </c>
      <c r="E453" t="s">
        <v>433</v>
      </c>
      <c r="F453" s="152">
        <v>14695</v>
      </c>
      <c r="G453" s="135" t="s">
        <v>227</v>
      </c>
      <c r="H453" s="46">
        <v>901432582</v>
      </c>
      <c r="I453" s="160" t="s">
        <v>232</v>
      </c>
      <c r="J453" s="48">
        <v>45845</v>
      </c>
      <c r="K453" s="49">
        <v>15809</v>
      </c>
      <c r="L453" s="50" t="s">
        <v>434</v>
      </c>
      <c r="N453" s="75" t="s">
        <v>229</v>
      </c>
      <c r="R453" s="72"/>
      <c r="S453" s="48"/>
      <c r="U453" s="48"/>
      <c r="V453" s="48"/>
    </row>
    <row r="454" spans="1:22" hidden="1" x14ac:dyDescent="0.25">
      <c r="A454" s="152">
        <f t="shared" si="25"/>
        <v>448</v>
      </c>
      <c r="B454" s="46" t="s">
        <v>870</v>
      </c>
      <c r="C454" s="46" t="str">
        <f>+IF(EstadoSolicitudes[[#This Row],[Aprobado OR]]="Aprobado",EstadoSolicitudes[[#This Row],[Aprobado OR]],
IF(EstadoSolicitudes[[#This Row],[Aprobado OR]]="Cancelado",EstadoSolicitudes[[#This Row],[Aprobado OR]],
IF(EstadoSolicitudes[[#This Row],[Cargue estudio al OR]]&gt;1,"Verificación Técnica",
IF(EstadoSolicitudes[[#This Row],[Fecha solicitud estudio]]&gt;1,"Estudio de conexión",
IF(EstadoSolicitudes[[#This Row],[Insumos revisados]]="No",IF(EstadoSolicitudes[[#This Row],[Fecha entrega insumos OR]]&gt;1,"Evolti","Espera de insumos"),
"Evolti")))))</f>
        <v>Espera de insumos</v>
      </c>
      <c r="D454" s="46" t="s">
        <v>159</v>
      </c>
      <c r="E454" t="s">
        <v>433</v>
      </c>
      <c r="F454" s="152">
        <v>14695</v>
      </c>
      <c r="G454" s="135" t="s">
        <v>227</v>
      </c>
      <c r="H454" s="46">
        <v>901432582</v>
      </c>
      <c r="I454" s="160" t="s">
        <v>267</v>
      </c>
      <c r="J454" s="48">
        <v>45845</v>
      </c>
      <c r="K454" s="49">
        <v>15810</v>
      </c>
      <c r="L454" s="50" t="s">
        <v>437</v>
      </c>
      <c r="N454" s="75" t="s">
        <v>229</v>
      </c>
      <c r="R454" s="72"/>
      <c r="S454" s="48"/>
      <c r="U454" s="48"/>
      <c r="V454" s="48"/>
    </row>
    <row r="455" spans="1:22" hidden="1" x14ac:dyDescent="0.25">
      <c r="A455" s="152">
        <f t="shared" si="25"/>
        <v>449</v>
      </c>
      <c r="B455" s="46" t="s">
        <v>871</v>
      </c>
      <c r="C455" s="46" t="str">
        <f>+IF(EstadoSolicitudes[[#This Row],[Aprobado OR]]="Aprobado",EstadoSolicitudes[[#This Row],[Aprobado OR]],
IF(EstadoSolicitudes[[#This Row],[Aprobado OR]]="Cancelado",EstadoSolicitudes[[#This Row],[Aprobado OR]],
IF(EstadoSolicitudes[[#This Row],[Cargue estudio al OR]]&gt;1,"Verificación Técnica",
IF(EstadoSolicitudes[[#This Row],[Fecha solicitud estudio]]&gt;1,"Estudio de conexión",
IF(EstadoSolicitudes[[#This Row],[Insumos revisados]]="No",IF(EstadoSolicitudes[[#This Row],[Fecha entrega insumos OR]]&gt;1,"Evolti","Espera de insumos"),
"Evolti")))))</f>
        <v>Espera de insumos</v>
      </c>
      <c r="D455" s="46" t="s">
        <v>159</v>
      </c>
      <c r="E455" t="s">
        <v>433</v>
      </c>
      <c r="F455" s="152">
        <v>14695</v>
      </c>
      <c r="G455" s="135" t="s">
        <v>227</v>
      </c>
      <c r="H455" s="46">
        <v>901432582</v>
      </c>
      <c r="I455" s="160" t="s">
        <v>537</v>
      </c>
      <c r="J455" s="48">
        <v>45845</v>
      </c>
      <c r="K455" s="49">
        <v>15811</v>
      </c>
      <c r="L455" s="50" t="s">
        <v>578</v>
      </c>
      <c r="N455" s="75" t="s">
        <v>229</v>
      </c>
      <c r="R455" s="72"/>
      <c r="S455" s="48"/>
      <c r="U455" s="48"/>
      <c r="V455" s="48"/>
    </row>
    <row r="456" spans="1:22" hidden="1" x14ac:dyDescent="0.25">
      <c r="A456" s="152">
        <f t="shared" si="25"/>
        <v>450</v>
      </c>
      <c r="B456" s="46" t="s">
        <v>872</v>
      </c>
      <c r="C456" s="46" t="str">
        <f>+IF(EstadoSolicitudes[[#This Row],[Aprobado OR]]="Aprobado",EstadoSolicitudes[[#This Row],[Aprobado OR]],
IF(EstadoSolicitudes[[#This Row],[Aprobado OR]]="Cancelado",EstadoSolicitudes[[#This Row],[Aprobado OR]],
IF(EstadoSolicitudes[[#This Row],[Cargue estudio al OR]]&gt;1,"Verificación Técnica",
IF(EstadoSolicitudes[[#This Row],[Fecha solicitud estudio]]&gt;1,"Estudio de conexión",
IF(EstadoSolicitudes[[#This Row],[Insumos revisados]]="No",IF(EstadoSolicitudes[[#This Row],[Fecha entrega insumos OR]]&gt;1,"Evolti","Espera de insumos"),
"Evolti")))))</f>
        <v>Espera de insumos</v>
      </c>
      <c r="D456" s="46" t="s">
        <v>159</v>
      </c>
      <c r="E456" s="152" t="s">
        <v>728</v>
      </c>
      <c r="F456" s="152">
        <v>14526</v>
      </c>
      <c r="G456" s="135" t="s">
        <v>227</v>
      </c>
      <c r="H456" s="46">
        <v>901432582</v>
      </c>
      <c r="I456" s="160" t="s">
        <v>232</v>
      </c>
      <c r="J456" s="48">
        <v>45845</v>
      </c>
      <c r="K456" s="49">
        <v>15815</v>
      </c>
      <c r="L456" s="50" t="s">
        <v>434</v>
      </c>
      <c r="N456" s="75" t="s">
        <v>229</v>
      </c>
      <c r="R456" s="72"/>
      <c r="S456" s="48"/>
      <c r="U456" s="48"/>
      <c r="V456" s="48"/>
    </row>
    <row r="457" spans="1:22" hidden="1" x14ac:dyDescent="0.25">
      <c r="A457" s="152">
        <f t="shared" si="25"/>
        <v>451</v>
      </c>
      <c r="B457" s="46" t="s">
        <v>873</v>
      </c>
      <c r="C457" s="46" t="str">
        <f>+IF(EstadoSolicitudes[[#This Row],[Aprobado OR]]="Aprobado",EstadoSolicitudes[[#This Row],[Aprobado OR]],
IF(EstadoSolicitudes[[#This Row],[Aprobado OR]]="Cancelado",EstadoSolicitudes[[#This Row],[Aprobado OR]],
IF(EstadoSolicitudes[[#This Row],[Cargue estudio al OR]]&gt;1,"Verificación Técnica",
IF(EstadoSolicitudes[[#This Row],[Fecha solicitud estudio]]&gt;1,"Estudio de conexión",
IF(EstadoSolicitudes[[#This Row],[Insumos revisados]]="No",IF(EstadoSolicitudes[[#This Row],[Fecha entrega insumos OR]]&gt;1,"Evolti","Espera de insumos"),
"Evolti")))))</f>
        <v>Espera de insumos</v>
      </c>
      <c r="D457" s="46" t="s">
        <v>159</v>
      </c>
      <c r="E457" s="152" t="s">
        <v>728</v>
      </c>
      <c r="F457" s="152">
        <v>14526</v>
      </c>
      <c r="G457" s="135" t="s">
        <v>227</v>
      </c>
      <c r="H457" s="46">
        <v>901432582</v>
      </c>
      <c r="I457" s="160" t="s">
        <v>267</v>
      </c>
      <c r="J457" s="48">
        <v>45845</v>
      </c>
      <c r="K457" s="49">
        <v>15816</v>
      </c>
      <c r="L457" s="50" t="s">
        <v>437</v>
      </c>
      <c r="N457" s="75" t="s">
        <v>229</v>
      </c>
      <c r="R457" s="72"/>
      <c r="S457" s="48"/>
      <c r="U457" s="48"/>
      <c r="V457" s="48"/>
    </row>
    <row r="458" spans="1:22" hidden="1" x14ac:dyDescent="0.25">
      <c r="A458" s="152">
        <f t="shared" si="25"/>
        <v>452</v>
      </c>
      <c r="B458" s="46" t="s">
        <v>874</v>
      </c>
      <c r="C458" s="46" t="str">
        <f>+IF(EstadoSolicitudes[[#This Row],[Aprobado OR]]="Aprobado",EstadoSolicitudes[[#This Row],[Aprobado OR]],
IF(EstadoSolicitudes[[#This Row],[Aprobado OR]]="Cancelado",EstadoSolicitudes[[#This Row],[Aprobado OR]],
IF(EstadoSolicitudes[[#This Row],[Cargue estudio al OR]]&gt;1,"Verificación Técnica",
IF(EstadoSolicitudes[[#This Row],[Fecha solicitud estudio]]&gt;1,"Estudio de conexión",
IF(EstadoSolicitudes[[#This Row],[Insumos revisados]]="No",IF(EstadoSolicitudes[[#This Row],[Fecha entrega insumos OR]]&gt;1,"Evolti","Espera de insumos"),
"Evolti")))))</f>
        <v>Espera de insumos</v>
      </c>
      <c r="D458" s="46" t="s">
        <v>159</v>
      </c>
      <c r="E458" s="152" t="s">
        <v>728</v>
      </c>
      <c r="F458" s="152">
        <v>14526</v>
      </c>
      <c r="G458" s="135" t="s">
        <v>227</v>
      </c>
      <c r="H458" s="46">
        <v>901432582</v>
      </c>
      <c r="I458" s="160" t="s">
        <v>537</v>
      </c>
      <c r="J458" s="48">
        <v>45845</v>
      </c>
      <c r="K458" s="49">
        <v>15817</v>
      </c>
      <c r="L458" s="50" t="s">
        <v>578</v>
      </c>
      <c r="N458" s="75" t="s">
        <v>229</v>
      </c>
      <c r="R458" s="72"/>
      <c r="S458" s="48"/>
      <c r="U458" s="48"/>
      <c r="V458" s="48"/>
    </row>
    <row r="459" spans="1:22" hidden="1" x14ac:dyDescent="0.25">
      <c r="A459" s="152">
        <f t="shared" si="25"/>
        <v>453</v>
      </c>
      <c r="B459" s="46" t="s">
        <v>875</v>
      </c>
      <c r="C459" s="46" t="str">
        <f>+IF(EstadoSolicitudes[[#This Row],[Aprobado OR]]="Aprobado",EstadoSolicitudes[[#This Row],[Aprobado OR]],
IF(EstadoSolicitudes[[#This Row],[Aprobado OR]]="Cancelado",EstadoSolicitudes[[#This Row],[Aprobado OR]],
IF(EstadoSolicitudes[[#This Row],[Cargue estudio al OR]]&gt;1,"Verificación Técnica",
IF(EstadoSolicitudes[[#This Row],[Fecha solicitud estudio]]&gt;1,"Estudio de conexión",
IF(EstadoSolicitudes[[#This Row],[Insumos revisados]]="No",IF(EstadoSolicitudes[[#This Row],[Fecha entrega insumos OR]]&gt;1,"Evolti","Espera de insumos"),
"Evolti")))))</f>
        <v>Espera de insumos</v>
      </c>
      <c r="D459" s="46" t="s">
        <v>159</v>
      </c>
      <c r="E459" s="152" t="s">
        <v>433</v>
      </c>
      <c r="F459" s="152">
        <v>14695</v>
      </c>
      <c r="G459" s="135" t="s">
        <v>227</v>
      </c>
      <c r="H459" s="46">
        <v>901432582</v>
      </c>
      <c r="I459" s="160" t="s">
        <v>232</v>
      </c>
      <c r="J459" s="48">
        <v>45845</v>
      </c>
      <c r="K459" s="49">
        <v>15812</v>
      </c>
      <c r="L459" s="50" t="s">
        <v>434</v>
      </c>
      <c r="N459" s="75" t="s">
        <v>229</v>
      </c>
      <c r="R459" s="72"/>
      <c r="S459" s="48"/>
      <c r="U459" s="48"/>
      <c r="V459" s="48"/>
    </row>
    <row r="460" spans="1:22" hidden="1" x14ac:dyDescent="0.25">
      <c r="A460" s="152">
        <f t="shared" si="25"/>
        <v>454</v>
      </c>
      <c r="B460" s="46" t="s">
        <v>876</v>
      </c>
      <c r="C460" s="46" t="str">
        <f>+IF(EstadoSolicitudes[[#This Row],[Aprobado OR]]="Aprobado",EstadoSolicitudes[[#This Row],[Aprobado OR]],
IF(EstadoSolicitudes[[#This Row],[Aprobado OR]]="Cancelado",EstadoSolicitudes[[#This Row],[Aprobado OR]],
IF(EstadoSolicitudes[[#This Row],[Cargue estudio al OR]]&gt;1,"Verificación Técnica",
IF(EstadoSolicitudes[[#This Row],[Fecha solicitud estudio]]&gt;1,"Estudio de conexión",
IF(EstadoSolicitudes[[#This Row],[Insumos revisados]]="No",IF(EstadoSolicitudes[[#This Row],[Fecha entrega insumos OR]]&gt;1,"Evolti","Espera de insumos"),
"Evolti")))))</f>
        <v>Espera de insumos</v>
      </c>
      <c r="D460" s="46" t="s">
        <v>159</v>
      </c>
      <c r="E460" s="152" t="s">
        <v>433</v>
      </c>
      <c r="F460" s="152">
        <v>14695</v>
      </c>
      <c r="G460" s="135" t="s">
        <v>227</v>
      </c>
      <c r="H460" s="46">
        <v>901432582</v>
      </c>
      <c r="I460" s="160" t="s">
        <v>267</v>
      </c>
      <c r="J460" s="48">
        <v>45845</v>
      </c>
      <c r="K460" s="49">
        <v>15813</v>
      </c>
      <c r="L460" s="50" t="s">
        <v>437</v>
      </c>
      <c r="N460" s="75" t="s">
        <v>229</v>
      </c>
      <c r="R460" s="72"/>
      <c r="S460" s="48"/>
      <c r="U460" s="48"/>
      <c r="V460" s="48"/>
    </row>
    <row r="461" spans="1:22" hidden="1" x14ac:dyDescent="0.25">
      <c r="A461" s="152">
        <f t="shared" si="25"/>
        <v>455</v>
      </c>
      <c r="B461" s="46" t="s">
        <v>877</v>
      </c>
      <c r="C461" s="46" t="str">
        <f>+IF(EstadoSolicitudes[[#This Row],[Aprobado OR]]="Aprobado",EstadoSolicitudes[[#This Row],[Aprobado OR]],
IF(EstadoSolicitudes[[#This Row],[Aprobado OR]]="Cancelado",EstadoSolicitudes[[#This Row],[Aprobado OR]],
IF(EstadoSolicitudes[[#This Row],[Cargue estudio al OR]]&gt;1,"Verificación Técnica",
IF(EstadoSolicitudes[[#This Row],[Fecha solicitud estudio]]&gt;1,"Estudio de conexión",
IF(EstadoSolicitudes[[#This Row],[Insumos revisados]]="No",IF(EstadoSolicitudes[[#This Row],[Fecha entrega insumos OR]]&gt;1,"Evolti","Espera de insumos"),
"Evolti")))))</f>
        <v>Espera de insumos</v>
      </c>
      <c r="D461" s="46" t="s">
        <v>159</v>
      </c>
      <c r="E461" s="152" t="s">
        <v>433</v>
      </c>
      <c r="F461" s="152">
        <v>14695</v>
      </c>
      <c r="G461" s="135" t="s">
        <v>227</v>
      </c>
      <c r="H461" s="46">
        <v>901432582</v>
      </c>
      <c r="I461" s="160" t="s">
        <v>537</v>
      </c>
      <c r="J461" s="48">
        <v>45845</v>
      </c>
      <c r="K461" s="49">
        <v>15814</v>
      </c>
      <c r="L461" s="50" t="s">
        <v>578</v>
      </c>
      <c r="N461" s="75" t="s">
        <v>229</v>
      </c>
      <c r="R461" s="72"/>
      <c r="S461" s="48"/>
      <c r="U461" s="48"/>
      <c r="V461" s="48"/>
    </row>
    <row r="462" spans="1:22" hidden="1" x14ac:dyDescent="0.25">
      <c r="A462" s="152">
        <f t="shared" si="25"/>
        <v>456</v>
      </c>
      <c r="B462" s="46" t="s">
        <v>878</v>
      </c>
      <c r="C462" s="46" t="str">
        <f>+IF(EstadoSolicitudes[[#This Row],[Aprobado OR]]="Aprobado",EstadoSolicitudes[[#This Row],[Aprobado OR]],
IF(EstadoSolicitudes[[#This Row],[Aprobado OR]]="Cancelado",EstadoSolicitudes[[#This Row],[Aprobado OR]],
IF(EstadoSolicitudes[[#This Row],[Cargue estudio al OR]]&gt;1,"Verificación Técnica",
IF(EstadoSolicitudes[[#This Row],[Fecha solicitud estudio]]&gt;1,"Estudio de conexión",
IF(EstadoSolicitudes[[#This Row],[Insumos revisados]]="No",IF(EstadoSolicitudes[[#This Row],[Fecha entrega insumos OR]]&gt;1,"Evolti","Espera de insumos"),
"Evolti")))))</f>
        <v>Espera de insumos</v>
      </c>
      <c r="D462" s="46" t="s">
        <v>159</v>
      </c>
      <c r="E462" s="152" t="s">
        <v>879</v>
      </c>
      <c r="F462" s="152">
        <v>14530</v>
      </c>
      <c r="G462" s="135" t="s">
        <v>227</v>
      </c>
      <c r="H462" s="46">
        <v>901432582</v>
      </c>
      <c r="I462" s="160" t="s">
        <v>232</v>
      </c>
      <c r="J462" s="48">
        <v>45845</v>
      </c>
      <c r="K462" s="49">
        <v>15823</v>
      </c>
      <c r="L462" s="50" t="s">
        <v>434</v>
      </c>
      <c r="N462" s="75" t="s">
        <v>229</v>
      </c>
      <c r="R462" s="72"/>
      <c r="S462" s="48"/>
      <c r="U462" s="48"/>
      <c r="V462" s="48"/>
    </row>
    <row r="463" spans="1:22" hidden="1" x14ac:dyDescent="0.25">
      <c r="A463" s="152">
        <f t="shared" si="25"/>
        <v>457</v>
      </c>
      <c r="B463" s="46" t="s">
        <v>880</v>
      </c>
      <c r="C463" s="46" t="str">
        <f>+IF(EstadoSolicitudes[[#This Row],[Aprobado OR]]="Aprobado",EstadoSolicitudes[[#This Row],[Aprobado OR]],
IF(EstadoSolicitudes[[#This Row],[Aprobado OR]]="Cancelado",EstadoSolicitudes[[#This Row],[Aprobado OR]],
IF(EstadoSolicitudes[[#This Row],[Cargue estudio al OR]]&gt;1,"Verificación Técnica",
IF(EstadoSolicitudes[[#This Row],[Fecha solicitud estudio]]&gt;1,"Estudio de conexión",
IF(EstadoSolicitudes[[#This Row],[Insumos revisados]]="No",IF(EstadoSolicitudes[[#This Row],[Fecha entrega insumos OR]]&gt;1,"Evolti","Espera de insumos"),
"Evolti")))))</f>
        <v>Espera de insumos</v>
      </c>
      <c r="D463" s="46" t="s">
        <v>159</v>
      </c>
      <c r="E463" s="152" t="s">
        <v>879</v>
      </c>
      <c r="F463" s="152">
        <v>14530</v>
      </c>
      <c r="G463" s="135" t="s">
        <v>227</v>
      </c>
      <c r="H463" s="46">
        <v>901432582</v>
      </c>
      <c r="I463" s="160" t="s">
        <v>267</v>
      </c>
      <c r="J463" s="48">
        <v>45845</v>
      </c>
      <c r="K463" s="49">
        <v>15824</v>
      </c>
      <c r="L463" s="50" t="s">
        <v>437</v>
      </c>
      <c r="N463" s="75" t="s">
        <v>229</v>
      </c>
      <c r="R463" s="72"/>
      <c r="S463" s="48"/>
      <c r="U463" s="48"/>
      <c r="V463" s="48"/>
    </row>
    <row r="464" spans="1:22" hidden="1" x14ac:dyDescent="0.25">
      <c r="A464" s="152">
        <f t="shared" si="25"/>
        <v>458</v>
      </c>
      <c r="B464" s="46" t="s">
        <v>881</v>
      </c>
      <c r="C464" s="46" t="str">
        <f>+IF(EstadoSolicitudes[[#This Row],[Aprobado OR]]="Aprobado",EstadoSolicitudes[[#This Row],[Aprobado OR]],
IF(EstadoSolicitudes[[#This Row],[Aprobado OR]]="Cancelado",EstadoSolicitudes[[#This Row],[Aprobado OR]],
IF(EstadoSolicitudes[[#This Row],[Cargue estudio al OR]]&gt;1,"Verificación Técnica",
IF(EstadoSolicitudes[[#This Row],[Fecha solicitud estudio]]&gt;1,"Estudio de conexión",
IF(EstadoSolicitudes[[#This Row],[Insumos revisados]]="No",IF(EstadoSolicitudes[[#This Row],[Fecha entrega insumos OR]]&gt;1,"Evolti","Espera de insumos"),
"Evolti")))))</f>
        <v>Espera de insumos</v>
      </c>
      <c r="D464" s="46" t="s">
        <v>159</v>
      </c>
      <c r="E464" s="152" t="s">
        <v>879</v>
      </c>
      <c r="F464" s="152">
        <v>14530</v>
      </c>
      <c r="G464" s="135" t="s">
        <v>227</v>
      </c>
      <c r="H464" s="46">
        <v>901432582</v>
      </c>
      <c r="I464" s="160" t="s">
        <v>537</v>
      </c>
      <c r="J464" s="48">
        <v>45845</v>
      </c>
      <c r="K464" s="49">
        <v>15825</v>
      </c>
      <c r="L464" s="50" t="s">
        <v>578</v>
      </c>
      <c r="N464" s="75" t="s">
        <v>229</v>
      </c>
      <c r="R464" s="72"/>
      <c r="S464" s="48"/>
      <c r="U464" s="48"/>
      <c r="V464" s="48"/>
    </row>
    <row r="465" spans="1:22" hidden="1" x14ac:dyDescent="0.25">
      <c r="A465" s="152">
        <f t="shared" si="25"/>
        <v>459</v>
      </c>
      <c r="B465" s="46" t="s">
        <v>882</v>
      </c>
      <c r="C465" s="46" t="str">
        <f>+IF(EstadoSolicitudes[[#This Row],[Aprobado OR]]="Aprobado",EstadoSolicitudes[[#This Row],[Aprobado OR]],
IF(EstadoSolicitudes[[#This Row],[Aprobado OR]]="Cancelado",EstadoSolicitudes[[#This Row],[Aprobado OR]],
IF(EstadoSolicitudes[[#This Row],[Cargue estudio al OR]]&gt;1,"Verificación Técnica",
IF(EstadoSolicitudes[[#This Row],[Fecha solicitud estudio]]&gt;1,"Estudio de conexión",
IF(EstadoSolicitudes[[#This Row],[Insumos revisados]]="No",IF(EstadoSolicitudes[[#This Row],[Fecha entrega insumos OR]]&gt;1,"Evolti","Espera de insumos"),
"Evolti")))))</f>
        <v>Espera de insumos</v>
      </c>
      <c r="D465" s="46" t="s">
        <v>159</v>
      </c>
      <c r="E465" s="152" t="s">
        <v>515</v>
      </c>
      <c r="F465" s="152">
        <v>14705</v>
      </c>
      <c r="G465" s="135" t="s">
        <v>227</v>
      </c>
      <c r="H465" s="46">
        <v>901432582</v>
      </c>
      <c r="I465" s="160" t="s">
        <v>232</v>
      </c>
      <c r="J465" s="48">
        <v>45845</v>
      </c>
      <c r="K465" s="49">
        <v>15819</v>
      </c>
      <c r="L465" s="50" t="s">
        <v>434</v>
      </c>
      <c r="N465" s="75" t="s">
        <v>229</v>
      </c>
      <c r="R465" s="72"/>
      <c r="S465" s="48"/>
      <c r="U465" s="48"/>
      <c r="V465" s="48"/>
    </row>
    <row r="466" spans="1:22" hidden="1" x14ac:dyDescent="0.25">
      <c r="A466" s="152">
        <f t="shared" si="25"/>
        <v>460</v>
      </c>
      <c r="B466" s="46" t="s">
        <v>883</v>
      </c>
      <c r="C466" s="46" t="str">
        <f>+IF(EstadoSolicitudes[[#This Row],[Aprobado OR]]="Aprobado",EstadoSolicitudes[[#This Row],[Aprobado OR]],
IF(EstadoSolicitudes[[#This Row],[Aprobado OR]]="Cancelado",EstadoSolicitudes[[#This Row],[Aprobado OR]],
IF(EstadoSolicitudes[[#This Row],[Cargue estudio al OR]]&gt;1,"Verificación Técnica",
IF(EstadoSolicitudes[[#This Row],[Fecha solicitud estudio]]&gt;1,"Estudio de conexión",
IF(EstadoSolicitudes[[#This Row],[Insumos revisados]]="No",IF(EstadoSolicitudes[[#This Row],[Fecha entrega insumos OR]]&gt;1,"Evolti","Espera de insumos"),
"Evolti")))))</f>
        <v>Espera de insumos</v>
      </c>
      <c r="D466" s="46" t="s">
        <v>159</v>
      </c>
      <c r="E466" s="152" t="s">
        <v>515</v>
      </c>
      <c r="F466" s="152">
        <v>14705</v>
      </c>
      <c r="G466" s="135" t="s">
        <v>227</v>
      </c>
      <c r="H466" s="46">
        <v>901432582</v>
      </c>
      <c r="I466" s="160" t="s">
        <v>267</v>
      </c>
      <c r="J466" s="48">
        <v>45845</v>
      </c>
      <c r="K466" s="49">
        <v>15820</v>
      </c>
      <c r="L466" s="50" t="s">
        <v>437</v>
      </c>
      <c r="N466" s="75" t="s">
        <v>229</v>
      </c>
      <c r="R466" s="72"/>
      <c r="S466" s="48"/>
      <c r="U466" s="48"/>
      <c r="V466" s="48"/>
    </row>
    <row r="467" spans="1:22" hidden="1" x14ac:dyDescent="0.25">
      <c r="A467" s="152">
        <f t="shared" si="25"/>
        <v>461</v>
      </c>
      <c r="B467" s="46" t="s">
        <v>884</v>
      </c>
      <c r="C467" s="46" t="str">
        <f>+IF(EstadoSolicitudes[[#This Row],[Aprobado OR]]="Aprobado",EstadoSolicitudes[[#This Row],[Aprobado OR]],
IF(EstadoSolicitudes[[#This Row],[Aprobado OR]]="Cancelado",EstadoSolicitudes[[#This Row],[Aprobado OR]],
IF(EstadoSolicitudes[[#This Row],[Cargue estudio al OR]]&gt;1,"Verificación Técnica",
IF(EstadoSolicitudes[[#This Row],[Fecha solicitud estudio]]&gt;1,"Estudio de conexión",
IF(EstadoSolicitudes[[#This Row],[Insumos revisados]]="No",IF(EstadoSolicitudes[[#This Row],[Fecha entrega insumos OR]]&gt;1,"Evolti","Espera de insumos"),
"Evolti")))))</f>
        <v>Espera de insumos</v>
      </c>
      <c r="D467" s="46" t="s">
        <v>159</v>
      </c>
      <c r="E467" s="152" t="s">
        <v>515</v>
      </c>
      <c r="F467" s="152">
        <v>14705</v>
      </c>
      <c r="G467" s="135" t="s">
        <v>227</v>
      </c>
      <c r="H467" s="46">
        <v>901432582</v>
      </c>
      <c r="I467" s="160" t="s">
        <v>537</v>
      </c>
      <c r="J467" s="48">
        <v>45845</v>
      </c>
      <c r="K467" s="49">
        <v>15821</v>
      </c>
      <c r="L467" s="50" t="s">
        <v>578</v>
      </c>
      <c r="N467" s="75" t="s">
        <v>229</v>
      </c>
      <c r="R467" s="72"/>
      <c r="S467" s="48"/>
      <c r="U467" s="48"/>
      <c r="V467" s="48"/>
    </row>
    <row r="468" spans="1:22" hidden="1" x14ac:dyDescent="0.25">
      <c r="A468" s="152">
        <f t="shared" si="25"/>
        <v>462</v>
      </c>
      <c r="B468" s="46" t="s">
        <v>885</v>
      </c>
      <c r="C468" s="46" t="str">
        <f>+IF(EstadoSolicitudes[[#This Row],[Aprobado OR]]="Aprobado",EstadoSolicitudes[[#This Row],[Aprobado OR]],
IF(EstadoSolicitudes[[#This Row],[Aprobado OR]]="Cancelado",EstadoSolicitudes[[#This Row],[Aprobado OR]],
IF(EstadoSolicitudes[[#This Row],[Cargue estudio al OR]]&gt;1,"Verificación Técnica",
IF(EstadoSolicitudes[[#This Row],[Fecha solicitud estudio]]&gt;1,"Estudio de conexión",
IF(EstadoSolicitudes[[#This Row],[Insumos revisados]]="No",IF(EstadoSolicitudes[[#This Row],[Fecha entrega insumos OR]]&gt;1,"Evolti","Espera de insumos"),
"Evolti")))))</f>
        <v>Evolti</v>
      </c>
      <c r="D468" s="46" t="s">
        <v>161</v>
      </c>
      <c r="E468" s="152" t="s">
        <v>886</v>
      </c>
      <c r="F468" s="152">
        <v>79503</v>
      </c>
      <c r="G468" s="135" t="s">
        <v>227</v>
      </c>
      <c r="H468" s="46">
        <v>901432582</v>
      </c>
      <c r="I468" s="160" t="s">
        <v>232</v>
      </c>
      <c r="J468" s="48">
        <v>45845</v>
      </c>
      <c r="K468" s="49">
        <v>65243218</v>
      </c>
      <c r="L468" s="50"/>
      <c r="M468" s="48">
        <v>45852</v>
      </c>
      <c r="N468" s="75" t="s">
        <v>542</v>
      </c>
      <c r="R468" s="72"/>
      <c r="S468" s="48"/>
      <c r="U468" s="48"/>
      <c r="V468" s="48"/>
    </row>
    <row r="469" spans="1:22" hidden="1" x14ac:dyDescent="0.25">
      <c r="A469" s="152">
        <f t="shared" si="25"/>
        <v>463</v>
      </c>
      <c r="B469" s="46" t="s">
        <v>887</v>
      </c>
      <c r="C469" s="46" t="str">
        <f>+IF(EstadoSolicitudes[[#This Row],[Aprobado OR]]="Aprobado",EstadoSolicitudes[[#This Row],[Aprobado OR]],
IF(EstadoSolicitudes[[#This Row],[Aprobado OR]]="Cancelado",EstadoSolicitudes[[#This Row],[Aprobado OR]],
IF(EstadoSolicitudes[[#This Row],[Cargue estudio al OR]]&gt;1,"Verificación Técnica",
IF(EstadoSolicitudes[[#This Row],[Fecha solicitud estudio]]&gt;1,"Estudio de conexión",
IF(EstadoSolicitudes[[#This Row],[Insumos revisados]]="No",IF(EstadoSolicitudes[[#This Row],[Fecha entrega insumos OR]]&gt;1,"Evolti","Espera de insumos"),
"Evolti")))))</f>
        <v>Evolti</v>
      </c>
      <c r="D469" s="46" t="s">
        <v>161</v>
      </c>
      <c r="E469" s="152" t="s">
        <v>886</v>
      </c>
      <c r="F469" s="152">
        <v>79503</v>
      </c>
      <c r="G469" s="135" t="s">
        <v>227</v>
      </c>
      <c r="H469" s="46">
        <v>901432582</v>
      </c>
      <c r="I469" s="160" t="s">
        <v>232</v>
      </c>
      <c r="J469" s="48">
        <v>45845</v>
      </c>
      <c r="K469" s="49">
        <v>65243308</v>
      </c>
      <c r="L469" s="50"/>
      <c r="M469" s="48">
        <v>45852</v>
      </c>
      <c r="N469" s="75" t="s">
        <v>542</v>
      </c>
      <c r="R469" s="72"/>
      <c r="S469" s="48"/>
      <c r="U469" s="48"/>
      <c r="V469" s="48"/>
    </row>
    <row r="470" spans="1:22" hidden="1" x14ac:dyDescent="0.25">
      <c r="A470" s="152">
        <f t="shared" si="25"/>
        <v>464</v>
      </c>
      <c r="B470" s="46" t="s">
        <v>888</v>
      </c>
      <c r="C470" s="46" t="str">
        <f>+IF(EstadoSolicitudes[[#This Row],[Aprobado OR]]="Aprobado",EstadoSolicitudes[[#This Row],[Aprobado OR]],
IF(EstadoSolicitudes[[#This Row],[Aprobado OR]]="Cancelado",EstadoSolicitudes[[#This Row],[Aprobado OR]],
IF(EstadoSolicitudes[[#This Row],[Cargue estudio al OR]]&gt;1,"Verificación Técnica",
IF(EstadoSolicitudes[[#This Row],[Fecha solicitud estudio]]&gt;1,"Estudio de conexión",
IF(EstadoSolicitudes[[#This Row],[Insumos revisados]]="No",IF(EstadoSolicitudes[[#This Row],[Fecha entrega insumos OR]]&gt;1,"Evolti","Espera de insumos"),
"Evolti")))))</f>
        <v>Evolti</v>
      </c>
      <c r="D470" s="46" t="s">
        <v>161</v>
      </c>
      <c r="E470" s="152" t="s">
        <v>886</v>
      </c>
      <c r="F470" s="152">
        <v>79503</v>
      </c>
      <c r="G470" s="135" t="s">
        <v>227</v>
      </c>
      <c r="H470" s="46">
        <v>901432582</v>
      </c>
      <c r="I470" s="160" t="s">
        <v>232</v>
      </c>
      <c r="J470" s="48">
        <v>45845</v>
      </c>
      <c r="K470" s="49">
        <v>65243527</v>
      </c>
      <c r="L470" s="50"/>
      <c r="M470" s="48">
        <v>45852</v>
      </c>
      <c r="N470" s="75" t="s">
        <v>542</v>
      </c>
      <c r="R470" s="72"/>
      <c r="S470" s="48"/>
      <c r="U470" s="48"/>
      <c r="V470" s="48"/>
    </row>
    <row r="471" spans="1:22" hidden="1" x14ac:dyDescent="0.25">
      <c r="A471" s="152">
        <f t="shared" si="25"/>
        <v>465</v>
      </c>
      <c r="B471" s="46" t="s">
        <v>889</v>
      </c>
      <c r="C471" s="46" t="str">
        <f>+IF(EstadoSolicitudes[[#This Row],[Aprobado OR]]="Aprobado",EstadoSolicitudes[[#This Row],[Aprobado OR]],
IF(EstadoSolicitudes[[#This Row],[Aprobado OR]]="Cancelado",EstadoSolicitudes[[#This Row],[Aprobado OR]],
IF(EstadoSolicitudes[[#This Row],[Cargue estudio al OR]]&gt;1,"Verificación Técnica",
IF(EstadoSolicitudes[[#This Row],[Fecha solicitud estudio]]&gt;1,"Estudio de conexión",
IF(EstadoSolicitudes[[#This Row],[Insumos revisados]]="No",IF(EstadoSolicitudes[[#This Row],[Fecha entrega insumos OR]]&gt;1,"Evolti","Espera de insumos"),
"Evolti")))))</f>
        <v>Espera de insumos</v>
      </c>
      <c r="D471" s="46" t="s">
        <v>161</v>
      </c>
      <c r="G471" s="135" t="s">
        <v>227</v>
      </c>
      <c r="H471" s="46">
        <v>901432582</v>
      </c>
      <c r="I471" s="160" t="s">
        <v>232</v>
      </c>
      <c r="J471" s="48">
        <v>45845</v>
      </c>
      <c r="K471" s="49">
        <v>65253913</v>
      </c>
      <c r="L471" s="50" t="s">
        <v>890</v>
      </c>
      <c r="N471" s="75" t="s">
        <v>229</v>
      </c>
      <c r="R471" s="72"/>
      <c r="S471" s="48"/>
      <c r="U471" s="48"/>
      <c r="V471" s="48"/>
    </row>
    <row r="472" spans="1:22" hidden="1" x14ac:dyDescent="0.25">
      <c r="A472" s="152">
        <f t="shared" si="25"/>
        <v>466</v>
      </c>
      <c r="B472" s="46" t="s">
        <v>891</v>
      </c>
      <c r="C472" s="46" t="str">
        <f>+IF(EstadoSolicitudes[[#This Row],[Aprobado OR]]="Aprobado",EstadoSolicitudes[[#This Row],[Aprobado OR]],
IF(EstadoSolicitudes[[#This Row],[Aprobado OR]]="Cancelado",EstadoSolicitudes[[#This Row],[Aprobado OR]],
IF(EstadoSolicitudes[[#This Row],[Cargue estudio al OR]]&gt;1,"Verificación Técnica",
IF(EstadoSolicitudes[[#This Row],[Fecha solicitud estudio]]&gt;1,"Estudio de conexión",
IF(EstadoSolicitudes[[#This Row],[Insumos revisados]]="No",IF(EstadoSolicitudes[[#This Row],[Fecha entrega insumos OR]]&gt;1,"Evolti","Espera de insumos"),
"Evolti")))))</f>
        <v>Espera de insumos</v>
      </c>
      <c r="D472" s="46" t="s">
        <v>161</v>
      </c>
      <c r="G472" s="135" t="s">
        <v>227</v>
      </c>
      <c r="H472" s="46">
        <v>901432582</v>
      </c>
      <c r="I472" s="160" t="s">
        <v>232</v>
      </c>
      <c r="J472" s="48">
        <v>45845</v>
      </c>
      <c r="K472" s="49">
        <v>65254448</v>
      </c>
      <c r="L472" s="50" t="s">
        <v>892</v>
      </c>
      <c r="N472" s="75" t="s">
        <v>229</v>
      </c>
      <c r="R472" s="72"/>
      <c r="S472" s="48"/>
      <c r="U472" s="48"/>
      <c r="V472" s="48"/>
    </row>
    <row r="473" spans="1:22" hidden="1" x14ac:dyDescent="0.25">
      <c r="A473" s="152">
        <f t="shared" si="25"/>
        <v>467</v>
      </c>
      <c r="B473" s="46" t="s">
        <v>893</v>
      </c>
      <c r="C473" s="46" t="str">
        <f>+IF(EstadoSolicitudes[[#This Row],[Aprobado OR]]="Aprobado",EstadoSolicitudes[[#This Row],[Aprobado OR]],
IF(EstadoSolicitudes[[#This Row],[Aprobado OR]]="Cancelado",EstadoSolicitudes[[#This Row],[Aprobado OR]],
IF(EstadoSolicitudes[[#This Row],[Cargue estudio al OR]]&gt;1,"Verificación Técnica",
IF(EstadoSolicitudes[[#This Row],[Fecha solicitud estudio]]&gt;1,"Estudio de conexión",
IF(EstadoSolicitudes[[#This Row],[Insumos revisados]]="No",IF(EstadoSolicitudes[[#This Row],[Fecha entrega insumos OR]]&gt;1,"Evolti","Espera de insumos"),
"Evolti")))))</f>
        <v>Espera de insumos</v>
      </c>
      <c r="D473" s="46" t="s">
        <v>161</v>
      </c>
      <c r="G473" s="135" t="s">
        <v>227</v>
      </c>
      <c r="H473" s="46">
        <v>901432582</v>
      </c>
      <c r="I473" s="160" t="s">
        <v>232</v>
      </c>
      <c r="J473" s="48">
        <v>45845</v>
      </c>
      <c r="K473" s="49">
        <v>65254508</v>
      </c>
      <c r="L473" s="50" t="s">
        <v>894</v>
      </c>
      <c r="N473" s="75" t="s">
        <v>229</v>
      </c>
      <c r="R473" s="72"/>
      <c r="S473" s="48"/>
      <c r="U473" s="48"/>
      <c r="V473" s="48"/>
    </row>
    <row r="474" spans="1:22" hidden="1" x14ac:dyDescent="0.25">
      <c r="A474" s="152">
        <f t="shared" si="25"/>
        <v>468</v>
      </c>
      <c r="B474" s="46" t="s">
        <v>895</v>
      </c>
      <c r="C474" s="46" t="str">
        <f>+IF(EstadoSolicitudes[[#This Row],[Aprobado OR]]="Aprobado",EstadoSolicitudes[[#This Row],[Aprobado OR]],
IF(EstadoSolicitudes[[#This Row],[Aprobado OR]]="Cancelado",EstadoSolicitudes[[#This Row],[Aprobado OR]],
IF(EstadoSolicitudes[[#This Row],[Cargue estudio al OR]]&gt;1,"Verificación Técnica",
IF(EstadoSolicitudes[[#This Row],[Fecha solicitud estudio]]&gt;1,"Estudio de conexión",
IF(EstadoSolicitudes[[#This Row],[Insumos revisados]]="No",IF(EstadoSolicitudes[[#This Row],[Fecha entrega insumos OR]]&gt;1,"Evolti","Espera de insumos"),
"Evolti")))))</f>
        <v>Evolti</v>
      </c>
      <c r="D474" s="46" t="s">
        <v>161</v>
      </c>
      <c r="E474" s="152" t="s">
        <v>1356</v>
      </c>
      <c r="F474" s="152">
        <v>82506</v>
      </c>
      <c r="G474" s="135" t="s">
        <v>227</v>
      </c>
      <c r="H474" s="46">
        <v>901432582</v>
      </c>
      <c r="I474" s="160" t="s">
        <v>232</v>
      </c>
      <c r="J474" s="48">
        <v>45845</v>
      </c>
      <c r="K474" s="49">
        <v>65261965</v>
      </c>
      <c r="L474" s="50" t="s">
        <v>896</v>
      </c>
      <c r="M474" s="48">
        <v>45853</v>
      </c>
      <c r="N474" s="75" t="s">
        <v>542</v>
      </c>
      <c r="R474" s="72"/>
      <c r="S474" s="48"/>
      <c r="U474" s="48"/>
      <c r="V474" s="48"/>
    </row>
    <row r="475" spans="1:22" hidden="1" x14ac:dyDescent="0.25">
      <c r="A475" s="152">
        <f t="shared" si="25"/>
        <v>469</v>
      </c>
      <c r="B475" s="46" t="s">
        <v>897</v>
      </c>
      <c r="C475" s="46" t="str">
        <f>+IF(EstadoSolicitudes[[#This Row],[Aprobado OR]]="Aprobado",EstadoSolicitudes[[#This Row],[Aprobado OR]],
IF(EstadoSolicitudes[[#This Row],[Aprobado OR]]="Cancelado",EstadoSolicitudes[[#This Row],[Aprobado OR]],
IF(EstadoSolicitudes[[#This Row],[Cargue estudio al OR]]&gt;1,"Verificación Técnica",
IF(EstadoSolicitudes[[#This Row],[Fecha solicitud estudio]]&gt;1,"Estudio de conexión",
IF(EstadoSolicitudes[[#This Row],[Insumos revisados]]="No",IF(EstadoSolicitudes[[#This Row],[Fecha entrega insumos OR]]&gt;1,"Evolti","Espera de insumos"),
"Evolti")))))</f>
        <v>Evolti</v>
      </c>
      <c r="D475" s="46" t="s">
        <v>161</v>
      </c>
      <c r="E475" s="152" t="s">
        <v>1356</v>
      </c>
      <c r="F475" s="152">
        <v>82506</v>
      </c>
      <c r="G475" s="135" t="s">
        <v>227</v>
      </c>
      <c r="H475" s="46">
        <v>901432582</v>
      </c>
      <c r="I475" s="160" t="s">
        <v>232</v>
      </c>
      <c r="J475" s="48">
        <v>45845</v>
      </c>
      <c r="K475" s="49">
        <v>65262204</v>
      </c>
      <c r="L475" s="50" t="s">
        <v>898</v>
      </c>
      <c r="M475" s="48">
        <v>45853</v>
      </c>
      <c r="N475" s="75" t="s">
        <v>542</v>
      </c>
      <c r="R475" s="72"/>
      <c r="S475" s="48"/>
      <c r="U475" s="48"/>
      <c r="V475" s="48"/>
    </row>
    <row r="476" spans="1:22" hidden="1" x14ac:dyDescent="0.25">
      <c r="A476" s="152">
        <f t="shared" si="25"/>
        <v>470</v>
      </c>
      <c r="B476" s="46" t="s">
        <v>899</v>
      </c>
      <c r="C476" s="46" t="str">
        <f>+IF(EstadoSolicitudes[[#This Row],[Aprobado OR]]="Aprobado",EstadoSolicitudes[[#This Row],[Aprobado OR]],
IF(EstadoSolicitudes[[#This Row],[Aprobado OR]]="Cancelado",EstadoSolicitudes[[#This Row],[Aprobado OR]],
IF(EstadoSolicitudes[[#This Row],[Cargue estudio al OR]]&gt;1,"Verificación Técnica",
IF(EstadoSolicitudes[[#This Row],[Fecha solicitud estudio]]&gt;1,"Estudio de conexión",
IF(EstadoSolicitudes[[#This Row],[Insumos revisados]]="No",IF(EstadoSolicitudes[[#This Row],[Fecha entrega insumos OR]]&gt;1,"Evolti","Espera de insumos"),
"Evolti")))))</f>
        <v>Evolti</v>
      </c>
      <c r="D476" s="46" t="s">
        <v>161</v>
      </c>
      <c r="E476" s="152" t="s">
        <v>1356</v>
      </c>
      <c r="F476" s="152">
        <v>82506</v>
      </c>
      <c r="G476" s="135" t="s">
        <v>227</v>
      </c>
      <c r="H476" s="46">
        <v>901432582</v>
      </c>
      <c r="I476" s="160" t="s">
        <v>232</v>
      </c>
      <c r="J476" s="48">
        <v>45845</v>
      </c>
      <c r="K476" s="49">
        <v>65262249</v>
      </c>
      <c r="L476" s="50" t="s">
        <v>900</v>
      </c>
      <c r="M476" s="48">
        <v>45853</v>
      </c>
      <c r="N476" s="75" t="s">
        <v>542</v>
      </c>
      <c r="R476" s="72"/>
      <c r="S476" s="48"/>
      <c r="U476" s="48"/>
      <c r="V476" s="48"/>
    </row>
    <row r="477" spans="1:22" hidden="1" x14ac:dyDescent="0.25">
      <c r="A477" s="152">
        <f t="shared" si="25"/>
        <v>471</v>
      </c>
      <c r="B477" s="46" t="s">
        <v>901</v>
      </c>
      <c r="C477" s="46" t="str">
        <f>+IF(EstadoSolicitudes[[#This Row],[Aprobado OR]]="Aprobado",EstadoSolicitudes[[#This Row],[Aprobado OR]],
IF(EstadoSolicitudes[[#This Row],[Aprobado OR]]="Cancelado",EstadoSolicitudes[[#This Row],[Aprobado OR]],
IF(EstadoSolicitudes[[#This Row],[Cargue estudio al OR]]&gt;1,"Verificación Técnica",
IF(EstadoSolicitudes[[#This Row],[Fecha solicitud estudio]]&gt;1,"Estudio de conexión",
IF(EstadoSolicitudes[[#This Row],[Insumos revisados]]="No",IF(EstadoSolicitudes[[#This Row],[Fecha entrega insumos OR]]&gt;1,"Evolti","Espera de insumos"),
"Evolti")))))</f>
        <v>Espera de insumos</v>
      </c>
      <c r="D477" s="46" t="s">
        <v>159</v>
      </c>
      <c r="G477" s="46" t="s">
        <v>227</v>
      </c>
      <c r="H477" s="46">
        <v>901432582</v>
      </c>
      <c r="I477" s="252" t="s">
        <v>232</v>
      </c>
      <c r="J477" s="48">
        <v>45848</v>
      </c>
      <c r="K477" s="49">
        <v>15833</v>
      </c>
      <c r="L477" s="50" t="s">
        <v>434</v>
      </c>
      <c r="N477" s="75" t="s">
        <v>229</v>
      </c>
      <c r="R477" s="72"/>
      <c r="S477" s="48"/>
      <c r="U477" s="48"/>
      <c r="V477" s="48"/>
    </row>
    <row r="478" spans="1:22" hidden="1" x14ac:dyDescent="0.25">
      <c r="A478" s="152">
        <f t="shared" si="25"/>
        <v>472</v>
      </c>
      <c r="B478" s="46" t="s">
        <v>902</v>
      </c>
      <c r="C478" s="46" t="str">
        <f>+IF(EstadoSolicitudes[[#This Row],[Aprobado OR]]="Aprobado",EstadoSolicitudes[[#This Row],[Aprobado OR]],
IF(EstadoSolicitudes[[#This Row],[Aprobado OR]]="Cancelado",EstadoSolicitudes[[#This Row],[Aprobado OR]],
IF(EstadoSolicitudes[[#This Row],[Cargue estudio al OR]]&gt;1,"Verificación Técnica",
IF(EstadoSolicitudes[[#This Row],[Fecha solicitud estudio]]&gt;1,"Estudio de conexión",
IF(EstadoSolicitudes[[#This Row],[Insumos revisados]]="No",IF(EstadoSolicitudes[[#This Row],[Fecha entrega insumos OR]]&gt;1,"Evolti","Espera de insumos"),
"Evolti")))))</f>
        <v>Espera de insumos</v>
      </c>
      <c r="D478" s="46" t="s">
        <v>159</v>
      </c>
      <c r="G478" s="46" t="s">
        <v>227</v>
      </c>
      <c r="H478" s="46">
        <v>901432582</v>
      </c>
      <c r="I478" s="252" t="s">
        <v>267</v>
      </c>
      <c r="J478" s="48">
        <v>45848</v>
      </c>
      <c r="K478" s="49">
        <v>15834</v>
      </c>
      <c r="L478" s="50" t="s">
        <v>437</v>
      </c>
      <c r="N478" s="75" t="s">
        <v>229</v>
      </c>
      <c r="R478" s="72"/>
      <c r="S478" s="48"/>
      <c r="U478" s="48"/>
      <c r="V478" s="48"/>
    </row>
    <row r="479" spans="1:22" hidden="1" x14ac:dyDescent="0.25">
      <c r="A479" s="152">
        <f t="shared" si="25"/>
        <v>473</v>
      </c>
      <c r="B479" s="46" t="s">
        <v>903</v>
      </c>
      <c r="C479" s="46" t="str">
        <f>+IF(EstadoSolicitudes[[#This Row],[Aprobado OR]]="Aprobado",EstadoSolicitudes[[#This Row],[Aprobado OR]],
IF(EstadoSolicitudes[[#This Row],[Aprobado OR]]="Cancelado",EstadoSolicitudes[[#This Row],[Aprobado OR]],
IF(EstadoSolicitudes[[#This Row],[Cargue estudio al OR]]&gt;1,"Verificación Técnica",
IF(EstadoSolicitudes[[#This Row],[Fecha solicitud estudio]]&gt;1,"Estudio de conexión",
IF(EstadoSolicitudes[[#This Row],[Insumos revisados]]="No",IF(EstadoSolicitudes[[#This Row],[Fecha entrega insumos OR]]&gt;1,"Evolti","Espera de insumos"),
"Evolti")))))</f>
        <v>Espera de insumos</v>
      </c>
      <c r="D479" s="46" t="s">
        <v>159</v>
      </c>
      <c r="G479" s="46" t="s">
        <v>227</v>
      </c>
      <c r="H479" s="46">
        <v>901432582</v>
      </c>
      <c r="I479" s="252" t="s">
        <v>529</v>
      </c>
      <c r="J479" s="48">
        <v>45848</v>
      </c>
      <c r="K479" s="49">
        <v>15835</v>
      </c>
      <c r="L479" s="50" t="s">
        <v>781</v>
      </c>
      <c r="N479" s="75" t="s">
        <v>229</v>
      </c>
      <c r="R479" s="72"/>
      <c r="S479" s="48"/>
      <c r="U479" s="48"/>
      <c r="V479" s="48"/>
    </row>
    <row r="480" spans="1:22" hidden="1" x14ac:dyDescent="0.25">
      <c r="A480" s="152">
        <f t="shared" si="25"/>
        <v>474</v>
      </c>
      <c r="B480" s="46" t="s">
        <v>904</v>
      </c>
      <c r="C480" s="46" t="str">
        <f>+IF(EstadoSolicitudes[[#This Row],[Aprobado OR]]="Aprobado",EstadoSolicitudes[[#This Row],[Aprobado OR]],
IF(EstadoSolicitudes[[#This Row],[Aprobado OR]]="Cancelado",EstadoSolicitudes[[#This Row],[Aprobado OR]],
IF(EstadoSolicitudes[[#This Row],[Cargue estudio al OR]]&gt;1,"Verificación Técnica",
IF(EstadoSolicitudes[[#This Row],[Fecha solicitud estudio]]&gt;1,"Estudio de conexión",
IF(EstadoSolicitudes[[#This Row],[Insumos revisados]]="No",IF(EstadoSolicitudes[[#This Row],[Fecha entrega insumos OR]]&gt;1,"Evolti","Espera de insumos"),
"Evolti")))))</f>
        <v>Espera de insumos</v>
      </c>
      <c r="D480" s="46" t="s">
        <v>160</v>
      </c>
      <c r="G480" s="46" t="s">
        <v>227</v>
      </c>
      <c r="H480" s="46">
        <v>901432582</v>
      </c>
      <c r="I480" s="252" t="s">
        <v>232</v>
      </c>
      <c r="J480" s="48">
        <v>45848</v>
      </c>
      <c r="K480" s="49">
        <v>6444</v>
      </c>
      <c r="L480" s="50" t="s">
        <v>509</v>
      </c>
      <c r="N480" s="75" t="s">
        <v>229</v>
      </c>
      <c r="R480" s="72"/>
      <c r="S480" s="48"/>
      <c r="U480" s="48"/>
      <c r="V480" s="48"/>
    </row>
    <row r="481" spans="1:22" hidden="1" x14ac:dyDescent="0.25">
      <c r="A481" s="152">
        <f t="shared" si="25"/>
        <v>475</v>
      </c>
      <c r="B481" s="46" t="s">
        <v>905</v>
      </c>
      <c r="C481" s="46" t="str">
        <f>+IF(EstadoSolicitudes[[#This Row],[Aprobado OR]]="Aprobado",EstadoSolicitudes[[#This Row],[Aprobado OR]],
IF(EstadoSolicitudes[[#This Row],[Aprobado OR]]="Cancelado",EstadoSolicitudes[[#This Row],[Aprobado OR]],
IF(EstadoSolicitudes[[#This Row],[Cargue estudio al OR]]&gt;1,"Verificación Técnica",
IF(EstadoSolicitudes[[#This Row],[Fecha solicitud estudio]]&gt;1,"Estudio de conexión",
IF(EstadoSolicitudes[[#This Row],[Insumos revisados]]="No",IF(EstadoSolicitudes[[#This Row],[Fecha entrega insumos OR]]&gt;1,"Evolti","Espera de insumos"),
"Evolti")))))</f>
        <v>Espera de insumos</v>
      </c>
      <c r="D481" s="46" t="s">
        <v>160</v>
      </c>
      <c r="G481" s="46" t="s">
        <v>227</v>
      </c>
      <c r="H481" s="46">
        <v>901432582</v>
      </c>
      <c r="I481" s="252" t="s">
        <v>267</v>
      </c>
      <c r="J481" s="48">
        <v>45848</v>
      </c>
      <c r="K481" s="49">
        <v>6445</v>
      </c>
      <c r="L481" s="50" t="s">
        <v>511</v>
      </c>
      <c r="N481" s="75" t="s">
        <v>229</v>
      </c>
      <c r="R481" s="72"/>
      <c r="S481" s="48"/>
      <c r="U481" s="48"/>
      <c r="V481" s="48"/>
    </row>
    <row r="482" spans="1:22" hidden="1" x14ac:dyDescent="0.25">
      <c r="A482" s="152">
        <f t="shared" si="25"/>
        <v>476</v>
      </c>
      <c r="B482" s="46" t="s">
        <v>906</v>
      </c>
      <c r="C482" s="46" t="str">
        <f>+IF(EstadoSolicitudes[[#This Row],[Aprobado OR]]="Aprobado",EstadoSolicitudes[[#This Row],[Aprobado OR]],
IF(EstadoSolicitudes[[#This Row],[Aprobado OR]]="Cancelado",EstadoSolicitudes[[#This Row],[Aprobado OR]],
IF(EstadoSolicitudes[[#This Row],[Cargue estudio al OR]]&gt;1,"Verificación Técnica",
IF(EstadoSolicitudes[[#This Row],[Fecha solicitud estudio]]&gt;1,"Estudio de conexión",
IF(EstadoSolicitudes[[#This Row],[Insumos revisados]]="No",IF(EstadoSolicitudes[[#This Row],[Fecha entrega insumos OR]]&gt;1,"Evolti","Espera de insumos"),
"Evolti")))))</f>
        <v>Espera de insumos</v>
      </c>
      <c r="D482" s="46" t="s">
        <v>160</v>
      </c>
      <c r="G482" s="46" t="s">
        <v>227</v>
      </c>
      <c r="H482" s="46">
        <v>901432582</v>
      </c>
      <c r="I482" s="252" t="s">
        <v>529</v>
      </c>
      <c r="J482" s="48">
        <v>45848</v>
      </c>
      <c r="K482" s="49">
        <v>6446</v>
      </c>
      <c r="L482" s="50" t="s">
        <v>530</v>
      </c>
      <c r="N482" s="75" t="s">
        <v>229</v>
      </c>
      <c r="R482" s="72"/>
      <c r="S482" s="48"/>
      <c r="U482" s="48"/>
      <c r="V482" s="48"/>
    </row>
    <row r="483" spans="1:22" hidden="1" x14ac:dyDescent="0.25">
      <c r="A483" s="152">
        <f t="shared" si="25"/>
        <v>477</v>
      </c>
      <c r="B483" s="46" t="s">
        <v>907</v>
      </c>
      <c r="C483" s="46" t="str">
        <f>+IF(EstadoSolicitudes[[#This Row],[Aprobado OR]]="Aprobado",EstadoSolicitudes[[#This Row],[Aprobado OR]],
IF(EstadoSolicitudes[[#This Row],[Aprobado OR]]="Cancelado",EstadoSolicitudes[[#This Row],[Aprobado OR]],
IF(EstadoSolicitudes[[#This Row],[Cargue estudio al OR]]&gt;1,"Verificación Técnica",
IF(EstadoSolicitudes[[#This Row],[Fecha solicitud estudio]]&gt;1,"Estudio de conexión",
IF(EstadoSolicitudes[[#This Row],[Insumos revisados]]="No",IF(EstadoSolicitudes[[#This Row],[Fecha entrega insumos OR]]&gt;1,"Evolti","Espera de insumos"),
"Evolti")))))</f>
        <v>Espera de insumos</v>
      </c>
      <c r="D483" s="46" t="s">
        <v>702</v>
      </c>
      <c r="F483" s="152">
        <v>21732</v>
      </c>
      <c r="G483" s="46" t="s">
        <v>227</v>
      </c>
      <c r="H483" s="46">
        <v>901432582</v>
      </c>
      <c r="I483" s="252" t="s">
        <v>232</v>
      </c>
      <c r="J483" s="48">
        <v>45845</v>
      </c>
      <c r="K483" s="49">
        <v>5103</v>
      </c>
      <c r="L483" s="50" t="s">
        <v>732</v>
      </c>
      <c r="N483" s="75" t="s">
        <v>229</v>
      </c>
      <c r="R483" s="72"/>
      <c r="S483" s="48"/>
      <c r="U483" s="48"/>
      <c r="V483" s="48"/>
    </row>
    <row r="484" spans="1:22" hidden="1" x14ac:dyDescent="0.25">
      <c r="A484" s="152">
        <f t="shared" si="25"/>
        <v>478</v>
      </c>
      <c r="B484" s="46" t="s">
        <v>908</v>
      </c>
      <c r="C484" s="46" t="str">
        <f>+IF(EstadoSolicitudes[[#This Row],[Aprobado OR]]="Aprobado",EstadoSolicitudes[[#This Row],[Aprobado OR]],
IF(EstadoSolicitudes[[#This Row],[Aprobado OR]]="Cancelado",EstadoSolicitudes[[#This Row],[Aprobado OR]],
IF(EstadoSolicitudes[[#This Row],[Cargue estudio al OR]]&gt;1,"Verificación Técnica",
IF(EstadoSolicitudes[[#This Row],[Fecha solicitud estudio]]&gt;1,"Estudio de conexión",
IF(EstadoSolicitudes[[#This Row],[Insumos revisados]]="No",IF(EstadoSolicitudes[[#This Row],[Fecha entrega insumos OR]]&gt;1,"Evolti","Espera de insumos"),
"Evolti")))))</f>
        <v>Espera de insumos</v>
      </c>
      <c r="D484" s="46" t="s">
        <v>702</v>
      </c>
      <c r="F484" s="152">
        <v>21732</v>
      </c>
      <c r="G484" s="46" t="s">
        <v>227</v>
      </c>
      <c r="H484" s="46">
        <v>901432582</v>
      </c>
      <c r="I484" s="252" t="s">
        <v>232</v>
      </c>
      <c r="J484" s="48">
        <v>45845</v>
      </c>
      <c r="K484" s="49">
        <v>5104</v>
      </c>
      <c r="L484" s="50" t="s">
        <v>736</v>
      </c>
      <c r="N484" s="75" t="s">
        <v>229</v>
      </c>
      <c r="R484" s="72"/>
      <c r="S484" s="48"/>
      <c r="U484" s="48"/>
      <c r="V484" s="48"/>
    </row>
    <row r="485" spans="1:22" hidden="1" x14ac:dyDescent="0.25">
      <c r="A485" s="152">
        <f t="shared" si="25"/>
        <v>479</v>
      </c>
      <c r="B485" s="46" t="s">
        <v>909</v>
      </c>
      <c r="C485" s="46" t="str">
        <f>+IF(EstadoSolicitudes[[#This Row],[Aprobado OR]]="Aprobado",EstadoSolicitudes[[#This Row],[Aprobado OR]],
IF(EstadoSolicitudes[[#This Row],[Aprobado OR]]="Cancelado",EstadoSolicitudes[[#This Row],[Aprobado OR]],
IF(EstadoSolicitudes[[#This Row],[Cargue estudio al OR]]&gt;1,"Verificación Técnica",
IF(EstadoSolicitudes[[#This Row],[Fecha solicitud estudio]]&gt;1,"Estudio de conexión",
IF(EstadoSolicitudes[[#This Row],[Insumos revisados]]="No",IF(EstadoSolicitudes[[#This Row],[Fecha entrega insumos OR]]&gt;1,"Evolti","Espera de insumos"),
"Evolti")))))</f>
        <v>Espera de insumos</v>
      </c>
      <c r="D485" s="46" t="s">
        <v>702</v>
      </c>
      <c r="F485" s="152">
        <v>21732</v>
      </c>
      <c r="G485" s="46" t="s">
        <v>227</v>
      </c>
      <c r="H485" s="46">
        <v>901432582</v>
      </c>
      <c r="I485" s="252" t="s">
        <v>232</v>
      </c>
      <c r="J485" s="48">
        <v>45845</v>
      </c>
      <c r="K485" s="49">
        <v>5105</v>
      </c>
      <c r="L485" s="50" t="s">
        <v>833</v>
      </c>
      <c r="N485" s="75" t="s">
        <v>229</v>
      </c>
      <c r="R485" s="72"/>
      <c r="S485" s="48"/>
      <c r="U485" s="48"/>
      <c r="V485" s="48"/>
    </row>
    <row r="486" spans="1:22" hidden="1" x14ac:dyDescent="0.25">
      <c r="A486" s="152">
        <f t="shared" si="25"/>
        <v>480</v>
      </c>
      <c r="B486" s="46" t="s">
        <v>910</v>
      </c>
      <c r="C486" s="46" t="str">
        <f>+IF(EstadoSolicitudes[[#This Row],[Aprobado OR]]="Aprobado",EstadoSolicitudes[[#This Row],[Aprobado OR]],
IF(EstadoSolicitudes[[#This Row],[Aprobado OR]]="Cancelado",EstadoSolicitudes[[#This Row],[Aprobado OR]],
IF(EstadoSolicitudes[[#This Row],[Cargue estudio al OR]]&gt;1,"Verificación Técnica",
IF(EstadoSolicitudes[[#This Row],[Fecha solicitud estudio]]&gt;1,"Estudio de conexión",
IF(EstadoSolicitudes[[#This Row],[Insumos revisados]]="No",IF(EstadoSolicitudes[[#This Row],[Fecha entrega insumos OR]]&gt;1,"Evolti","Espera de insumos"),
"Evolti")))))</f>
        <v>Espera de insumos</v>
      </c>
      <c r="D486" s="46" t="s">
        <v>153</v>
      </c>
      <c r="G486" s="46" t="s">
        <v>227</v>
      </c>
      <c r="H486" s="46">
        <v>901432582</v>
      </c>
      <c r="I486" s="252" t="s">
        <v>232</v>
      </c>
      <c r="J486" s="48">
        <v>45849</v>
      </c>
      <c r="K486" s="49">
        <v>4441</v>
      </c>
      <c r="L486" s="50" t="s">
        <v>241</v>
      </c>
      <c r="N486" s="75" t="s">
        <v>229</v>
      </c>
      <c r="R486" s="72"/>
      <c r="S486" s="48"/>
      <c r="U486" s="48"/>
      <c r="V486" s="48"/>
    </row>
    <row r="487" spans="1:22" hidden="1" x14ac:dyDescent="0.25">
      <c r="A487" s="152">
        <f t="shared" si="25"/>
        <v>481</v>
      </c>
      <c r="B487" s="46" t="s">
        <v>911</v>
      </c>
      <c r="C487" s="46" t="str">
        <f>+IF(EstadoSolicitudes[[#This Row],[Aprobado OR]]="Aprobado",EstadoSolicitudes[[#This Row],[Aprobado OR]],
IF(EstadoSolicitudes[[#This Row],[Aprobado OR]]="Cancelado",EstadoSolicitudes[[#This Row],[Aprobado OR]],
IF(EstadoSolicitudes[[#This Row],[Cargue estudio al OR]]&gt;1,"Verificación Técnica",
IF(EstadoSolicitudes[[#This Row],[Fecha solicitud estudio]]&gt;1,"Estudio de conexión",
IF(EstadoSolicitudes[[#This Row],[Insumos revisados]]="No",IF(EstadoSolicitudes[[#This Row],[Fecha entrega insumos OR]]&gt;1,"Evolti","Espera de insumos"),
"Evolti")))))</f>
        <v>Espera de insumos</v>
      </c>
      <c r="D487" s="46" t="s">
        <v>153</v>
      </c>
      <c r="G487" s="46" t="s">
        <v>227</v>
      </c>
      <c r="H487" s="46">
        <v>901432582</v>
      </c>
      <c r="I487" s="252" t="s">
        <v>267</v>
      </c>
      <c r="J487" s="48">
        <v>45849</v>
      </c>
      <c r="K487" s="49">
        <v>4442</v>
      </c>
      <c r="L487" s="50">
        <v>1286176</v>
      </c>
      <c r="N487" s="75" t="s">
        <v>229</v>
      </c>
      <c r="R487" s="72"/>
      <c r="S487" s="48"/>
      <c r="U487" s="48"/>
      <c r="V487" s="48"/>
    </row>
    <row r="488" spans="1:22" hidden="1" x14ac:dyDescent="0.25">
      <c r="A488" s="152">
        <f t="shared" si="25"/>
        <v>482</v>
      </c>
      <c r="B488" s="46" t="s">
        <v>912</v>
      </c>
      <c r="C488" s="46" t="str">
        <f>+IF(EstadoSolicitudes[[#This Row],[Aprobado OR]]="Aprobado",EstadoSolicitudes[[#This Row],[Aprobado OR]],
IF(EstadoSolicitudes[[#This Row],[Aprobado OR]]="Cancelado",EstadoSolicitudes[[#This Row],[Aprobado OR]],
IF(EstadoSolicitudes[[#This Row],[Cargue estudio al OR]]&gt;1,"Verificación Técnica",
IF(EstadoSolicitudes[[#This Row],[Fecha solicitud estudio]]&gt;1,"Estudio de conexión",
IF(EstadoSolicitudes[[#This Row],[Insumos revisados]]="No",IF(EstadoSolicitudes[[#This Row],[Fecha entrega insumos OR]]&gt;1,"Evolti","Espera de insumos"),
"Evolti")))))</f>
        <v>Espera de insumos</v>
      </c>
      <c r="D488" s="46" t="s">
        <v>153</v>
      </c>
      <c r="G488" s="46" t="s">
        <v>227</v>
      </c>
      <c r="H488" s="46">
        <v>901432582</v>
      </c>
      <c r="I488" s="252" t="s">
        <v>529</v>
      </c>
      <c r="J488" s="48">
        <v>45849</v>
      </c>
      <c r="K488" s="49">
        <v>4443</v>
      </c>
      <c r="L488" s="50" t="s">
        <v>545</v>
      </c>
      <c r="N488" s="75" t="s">
        <v>229</v>
      </c>
      <c r="R488" s="72"/>
      <c r="S488" s="48"/>
      <c r="U488" s="48"/>
      <c r="V488" s="48"/>
    </row>
    <row r="489" spans="1:22" hidden="1" x14ac:dyDescent="0.25">
      <c r="A489" s="152">
        <f t="shared" si="25"/>
        <v>483</v>
      </c>
      <c r="B489" s="46" t="s">
        <v>913</v>
      </c>
      <c r="C489" s="46" t="str">
        <f>+IF(EstadoSolicitudes[[#This Row],[Aprobado OR]]="Aprobado",EstadoSolicitudes[[#This Row],[Aprobado OR]],
IF(EstadoSolicitudes[[#This Row],[Aprobado OR]]="Cancelado",EstadoSolicitudes[[#This Row],[Aprobado OR]],
IF(EstadoSolicitudes[[#This Row],[Cargue estudio al OR]]&gt;1,"Verificación Técnica",
IF(EstadoSolicitudes[[#This Row],[Fecha solicitud estudio]]&gt;1,"Estudio de conexión",
IF(EstadoSolicitudes[[#This Row],[Insumos revisados]]="No",IF(EstadoSolicitudes[[#This Row],[Fecha entrega insumos OR]]&gt;1,"Evolti","Espera de insumos"),
"Evolti")))))</f>
        <v>Espera de insumos</v>
      </c>
      <c r="D489" s="46" t="s">
        <v>153</v>
      </c>
      <c r="G489" s="46" t="s">
        <v>227</v>
      </c>
      <c r="H489" s="46">
        <v>901432582</v>
      </c>
      <c r="I489" s="252" t="s">
        <v>232</v>
      </c>
      <c r="J489" s="48">
        <v>45853</v>
      </c>
      <c r="K489" s="49">
        <v>4468</v>
      </c>
      <c r="L489" s="50" t="s">
        <v>241</v>
      </c>
      <c r="N489" s="75" t="s">
        <v>229</v>
      </c>
      <c r="R489" s="72"/>
      <c r="S489" s="48"/>
      <c r="U489" s="48"/>
      <c r="V489" s="48"/>
    </row>
    <row r="490" spans="1:22" hidden="1" x14ac:dyDescent="0.25">
      <c r="A490" s="152">
        <f t="shared" si="25"/>
        <v>484</v>
      </c>
      <c r="B490" s="46" t="s">
        <v>914</v>
      </c>
      <c r="C490" s="46" t="str">
        <f>+IF(EstadoSolicitudes[[#This Row],[Aprobado OR]]="Aprobado",EstadoSolicitudes[[#This Row],[Aprobado OR]],
IF(EstadoSolicitudes[[#This Row],[Aprobado OR]]="Cancelado",EstadoSolicitudes[[#This Row],[Aprobado OR]],
IF(EstadoSolicitudes[[#This Row],[Cargue estudio al OR]]&gt;1,"Verificación Técnica",
IF(EstadoSolicitudes[[#This Row],[Fecha solicitud estudio]]&gt;1,"Estudio de conexión",
IF(EstadoSolicitudes[[#This Row],[Insumos revisados]]="No",IF(EstadoSolicitudes[[#This Row],[Fecha entrega insumos OR]]&gt;1,"Evolti","Espera de insumos"),
"Evolti")))))</f>
        <v>Espera de insumos</v>
      </c>
      <c r="D490" s="46" t="s">
        <v>153</v>
      </c>
      <c r="G490" s="46" t="s">
        <v>227</v>
      </c>
      <c r="H490" s="46">
        <v>901432582</v>
      </c>
      <c r="I490" s="252" t="s">
        <v>267</v>
      </c>
      <c r="J490" s="48">
        <v>45853</v>
      </c>
      <c r="K490" s="49">
        <v>4469</v>
      </c>
      <c r="L490" s="50">
        <v>1286176</v>
      </c>
      <c r="N490" s="75" t="s">
        <v>229</v>
      </c>
      <c r="R490" s="72"/>
      <c r="S490" s="48"/>
      <c r="U490" s="48"/>
      <c r="V490" s="48"/>
    </row>
    <row r="491" spans="1:22" hidden="1" x14ac:dyDescent="0.25">
      <c r="A491" s="152">
        <f t="shared" si="25"/>
        <v>485</v>
      </c>
      <c r="B491" s="46" t="s">
        <v>915</v>
      </c>
      <c r="C491" s="46" t="str">
        <f>+IF(EstadoSolicitudes[[#This Row],[Aprobado OR]]="Aprobado",EstadoSolicitudes[[#This Row],[Aprobado OR]],
IF(EstadoSolicitudes[[#This Row],[Aprobado OR]]="Cancelado",EstadoSolicitudes[[#This Row],[Aprobado OR]],
IF(EstadoSolicitudes[[#This Row],[Cargue estudio al OR]]&gt;1,"Verificación Técnica",
IF(EstadoSolicitudes[[#This Row],[Fecha solicitud estudio]]&gt;1,"Estudio de conexión",
IF(EstadoSolicitudes[[#This Row],[Insumos revisados]]="No",IF(EstadoSolicitudes[[#This Row],[Fecha entrega insumos OR]]&gt;1,"Evolti","Espera de insumos"),
"Evolti")))))</f>
        <v>Espera de insumos</v>
      </c>
      <c r="D491" s="46" t="s">
        <v>153</v>
      </c>
      <c r="G491" s="46" t="s">
        <v>227</v>
      </c>
      <c r="H491" s="46">
        <v>901432582</v>
      </c>
      <c r="I491" s="252" t="s">
        <v>529</v>
      </c>
      <c r="J491" s="48">
        <v>45853</v>
      </c>
      <c r="K491" s="49">
        <v>4470</v>
      </c>
      <c r="L491" s="50" t="s">
        <v>545</v>
      </c>
      <c r="N491" s="75" t="s">
        <v>229</v>
      </c>
      <c r="R491" s="72"/>
      <c r="S491" s="48"/>
      <c r="U491" s="48"/>
      <c r="V491" s="48"/>
    </row>
    <row r="492" spans="1:22" hidden="1" x14ac:dyDescent="0.25">
      <c r="A492" s="152">
        <f t="shared" si="25"/>
        <v>486</v>
      </c>
      <c r="B492" s="46" t="s">
        <v>916</v>
      </c>
      <c r="C492" s="46" t="str">
        <f>+IF(EstadoSolicitudes[[#This Row],[Aprobado OR]]="Aprobado",EstadoSolicitudes[[#This Row],[Aprobado OR]],
IF(EstadoSolicitudes[[#This Row],[Aprobado OR]]="Cancelado",EstadoSolicitudes[[#This Row],[Aprobado OR]],
IF(EstadoSolicitudes[[#This Row],[Cargue estudio al OR]]&gt;1,"Verificación Técnica",
IF(EstadoSolicitudes[[#This Row],[Fecha solicitud estudio]]&gt;1,"Estudio de conexión",
IF(EstadoSolicitudes[[#This Row],[Insumos revisados]]="No",IF(EstadoSolicitudes[[#This Row],[Fecha entrega insumos OR]]&gt;1,"Evolti","Espera de insumos"),
"Evolti")))))</f>
        <v>Espera de insumos</v>
      </c>
      <c r="D492" s="46" t="s">
        <v>153</v>
      </c>
      <c r="G492" s="155" t="s">
        <v>227</v>
      </c>
      <c r="H492" s="155">
        <v>901432582</v>
      </c>
      <c r="I492" s="252" t="s">
        <v>232</v>
      </c>
      <c r="J492" s="158">
        <v>45852</v>
      </c>
      <c r="K492" s="253">
        <v>4461</v>
      </c>
      <c r="L492" s="254" t="s">
        <v>241</v>
      </c>
      <c r="M492" s="155"/>
      <c r="N492" s="255" t="s">
        <v>229</v>
      </c>
      <c r="R492" s="72"/>
      <c r="S492" s="48"/>
      <c r="U492" s="48"/>
      <c r="V492" s="48"/>
    </row>
    <row r="493" spans="1:22" hidden="1" x14ac:dyDescent="0.25">
      <c r="A493" s="152">
        <f t="shared" si="25"/>
        <v>487</v>
      </c>
      <c r="B493" s="46" t="s">
        <v>917</v>
      </c>
      <c r="C493" s="46" t="str">
        <f>+IF(EstadoSolicitudes[[#This Row],[Aprobado OR]]="Aprobado",EstadoSolicitudes[[#This Row],[Aprobado OR]],
IF(EstadoSolicitudes[[#This Row],[Aprobado OR]]="Cancelado",EstadoSolicitudes[[#This Row],[Aprobado OR]],
IF(EstadoSolicitudes[[#This Row],[Cargue estudio al OR]]&gt;1,"Verificación Técnica",
IF(EstadoSolicitudes[[#This Row],[Fecha solicitud estudio]]&gt;1,"Estudio de conexión",
IF(EstadoSolicitudes[[#This Row],[Insumos revisados]]="No",IF(EstadoSolicitudes[[#This Row],[Fecha entrega insumos OR]]&gt;1,"Evolti","Espera de insumos"),
"Evolti")))))</f>
        <v>Espera de insumos</v>
      </c>
      <c r="D493" s="46" t="s">
        <v>153</v>
      </c>
      <c r="G493" s="155" t="s">
        <v>227</v>
      </c>
      <c r="H493" s="155">
        <v>901432582</v>
      </c>
      <c r="I493" s="252" t="s">
        <v>267</v>
      </c>
      <c r="J493" s="158">
        <v>45852</v>
      </c>
      <c r="K493" s="253">
        <v>4462</v>
      </c>
      <c r="L493" s="254" t="s">
        <v>268</v>
      </c>
      <c r="M493" s="155"/>
      <c r="N493" s="255" t="s">
        <v>229</v>
      </c>
      <c r="R493" s="72"/>
      <c r="S493" s="48"/>
      <c r="U493" s="48"/>
      <c r="V493" s="48"/>
    </row>
    <row r="494" spans="1:22" hidden="1" x14ac:dyDescent="0.25">
      <c r="A494" s="152">
        <f t="shared" si="25"/>
        <v>488</v>
      </c>
      <c r="B494" s="46" t="s">
        <v>918</v>
      </c>
      <c r="C494" s="46" t="str">
        <f>+IF(EstadoSolicitudes[[#This Row],[Aprobado OR]]="Aprobado",EstadoSolicitudes[[#This Row],[Aprobado OR]],
IF(EstadoSolicitudes[[#This Row],[Aprobado OR]]="Cancelado",EstadoSolicitudes[[#This Row],[Aprobado OR]],
IF(EstadoSolicitudes[[#This Row],[Cargue estudio al OR]]&gt;1,"Verificación Técnica",
IF(EstadoSolicitudes[[#This Row],[Fecha solicitud estudio]]&gt;1,"Estudio de conexión",
IF(EstadoSolicitudes[[#This Row],[Insumos revisados]]="No",IF(EstadoSolicitudes[[#This Row],[Fecha entrega insumos OR]]&gt;1,"Evolti","Espera de insumos"),
"Evolti")))))</f>
        <v>Espera de insumos</v>
      </c>
      <c r="D494" s="46" t="s">
        <v>153</v>
      </c>
      <c r="G494" s="155" t="s">
        <v>227</v>
      </c>
      <c r="H494" s="155">
        <v>901432582</v>
      </c>
      <c r="I494" s="252" t="s">
        <v>529</v>
      </c>
      <c r="J494" s="158">
        <v>45852</v>
      </c>
      <c r="K494" s="253">
        <v>4463</v>
      </c>
      <c r="L494" s="254" t="s">
        <v>545</v>
      </c>
      <c r="M494" s="155"/>
      <c r="N494" s="255" t="s">
        <v>229</v>
      </c>
      <c r="R494" s="72"/>
      <c r="S494" s="48"/>
      <c r="U494" s="48"/>
      <c r="V494" s="48"/>
    </row>
    <row r="495" spans="1:22" hidden="1" x14ac:dyDescent="0.25">
      <c r="A495" s="152">
        <f t="shared" si="25"/>
        <v>489</v>
      </c>
      <c r="B495" s="46" t="s">
        <v>919</v>
      </c>
      <c r="C495" s="46" t="str">
        <f>+IF(EstadoSolicitudes[[#This Row],[Aprobado OR]]="Aprobado",EstadoSolicitudes[[#This Row],[Aprobado OR]],
IF(EstadoSolicitudes[[#This Row],[Aprobado OR]]="Cancelado",EstadoSolicitudes[[#This Row],[Aprobado OR]],
IF(EstadoSolicitudes[[#This Row],[Cargue estudio al OR]]&gt;1,"Verificación Técnica",
IF(EstadoSolicitudes[[#This Row],[Fecha solicitud estudio]]&gt;1,"Estudio de conexión",
IF(EstadoSolicitudes[[#This Row],[Insumos revisados]]="No",IF(EstadoSolicitudes[[#This Row],[Fecha entrega insumos OR]]&gt;1,"Evolti","Espera de insumos"),
"Evolti")))))</f>
        <v>Espera de insumos</v>
      </c>
      <c r="D495" s="46" t="s">
        <v>153</v>
      </c>
      <c r="G495" s="155" t="s">
        <v>227</v>
      </c>
      <c r="H495" s="155">
        <v>901432582</v>
      </c>
      <c r="I495" s="252" t="s">
        <v>232</v>
      </c>
      <c r="J495" s="158">
        <v>45852</v>
      </c>
      <c r="K495" s="253">
        <v>4464</v>
      </c>
      <c r="L495" s="254" t="s">
        <v>241</v>
      </c>
      <c r="M495" s="155"/>
      <c r="N495" s="255" t="s">
        <v>229</v>
      </c>
      <c r="R495" s="72"/>
      <c r="S495" s="48"/>
      <c r="U495" s="48"/>
      <c r="V495" s="48"/>
    </row>
    <row r="496" spans="1:22" hidden="1" x14ac:dyDescent="0.25">
      <c r="A496" s="152">
        <f t="shared" si="25"/>
        <v>490</v>
      </c>
      <c r="B496" s="46" t="s">
        <v>920</v>
      </c>
      <c r="C496" s="46" t="str">
        <f>+IF(EstadoSolicitudes[[#This Row],[Aprobado OR]]="Aprobado",EstadoSolicitudes[[#This Row],[Aprobado OR]],
IF(EstadoSolicitudes[[#This Row],[Aprobado OR]]="Cancelado",EstadoSolicitudes[[#This Row],[Aprobado OR]],
IF(EstadoSolicitudes[[#This Row],[Cargue estudio al OR]]&gt;1,"Verificación Técnica",
IF(EstadoSolicitudes[[#This Row],[Fecha solicitud estudio]]&gt;1,"Estudio de conexión",
IF(EstadoSolicitudes[[#This Row],[Insumos revisados]]="No",IF(EstadoSolicitudes[[#This Row],[Fecha entrega insumos OR]]&gt;1,"Evolti","Espera de insumos"),
"Evolti")))))</f>
        <v>Espera de insumos</v>
      </c>
      <c r="D496" s="46" t="s">
        <v>153</v>
      </c>
      <c r="G496" s="155" t="s">
        <v>227</v>
      </c>
      <c r="H496" s="155">
        <v>901432582</v>
      </c>
      <c r="I496" s="252" t="s">
        <v>267</v>
      </c>
      <c r="J496" s="158">
        <v>45852</v>
      </c>
      <c r="K496" s="253">
        <v>4465</v>
      </c>
      <c r="L496" s="254" t="s">
        <v>268</v>
      </c>
      <c r="M496" s="155"/>
      <c r="N496" s="255" t="s">
        <v>229</v>
      </c>
      <c r="R496" s="72"/>
      <c r="S496" s="48"/>
      <c r="U496" s="48"/>
      <c r="V496" s="48"/>
    </row>
    <row r="497" spans="1:22" hidden="1" x14ac:dyDescent="0.25">
      <c r="A497" s="152">
        <f t="shared" si="25"/>
        <v>491</v>
      </c>
      <c r="B497" s="46" t="s">
        <v>921</v>
      </c>
      <c r="C497" s="46" t="str">
        <f>+IF(EstadoSolicitudes[[#This Row],[Aprobado OR]]="Aprobado",EstadoSolicitudes[[#This Row],[Aprobado OR]],
IF(EstadoSolicitudes[[#This Row],[Aprobado OR]]="Cancelado",EstadoSolicitudes[[#This Row],[Aprobado OR]],
IF(EstadoSolicitudes[[#This Row],[Cargue estudio al OR]]&gt;1,"Verificación Técnica",
IF(EstadoSolicitudes[[#This Row],[Fecha solicitud estudio]]&gt;1,"Estudio de conexión",
IF(EstadoSolicitudes[[#This Row],[Insumos revisados]]="No",IF(EstadoSolicitudes[[#This Row],[Fecha entrega insumos OR]]&gt;1,"Evolti","Espera de insumos"),
"Evolti")))))</f>
        <v>Espera de insumos</v>
      </c>
      <c r="D497" s="46" t="s">
        <v>153</v>
      </c>
      <c r="G497" s="155" t="s">
        <v>227</v>
      </c>
      <c r="H497" s="155">
        <v>901432582</v>
      </c>
      <c r="I497" s="252" t="s">
        <v>529</v>
      </c>
      <c r="J497" s="158">
        <v>45852</v>
      </c>
      <c r="K497" s="253">
        <v>4466</v>
      </c>
      <c r="L497" s="254" t="s">
        <v>545</v>
      </c>
      <c r="M497" s="155"/>
      <c r="N497" s="255" t="s">
        <v>229</v>
      </c>
      <c r="R497" s="72"/>
      <c r="S497" s="48"/>
      <c r="U497" s="48"/>
      <c r="V497" s="48"/>
    </row>
    <row r="498" spans="1:22" hidden="1" x14ac:dyDescent="0.25">
      <c r="A498" s="152">
        <f t="shared" si="25"/>
        <v>492</v>
      </c>
      <c r="B498" s="46" t="s">
        <v>1357</v>
      </c>
      <c r="C498" s="46" t="str">
        <f>+IF(EstadoSolicitudes[[#This Row],[Aprobado OR]]="Aprobado",EstadoSolicitudes[[#This Row],[Aprobado OR]],
IF(EstadoSolicitudes[[#This Row],[Aprobado OR]]="Cancelado",EstadoSolicitudes[[#This Row],[Aprobado OR]],
IF(EstadoSolicitudes[[#This Row],[Cargue estudio al OR]]&gt;1,"Verificación Técnica",
IF(EstadoSolicitudes[[#This Row],[Fecha solicitud estudio]]&gt;1,"Estudio de conexión",
IF(EstadoSolicitudes[[#This Row],[Insumos revisados]]="No",IF(EstadoSolicitudes[[#This Row],[Fecha entrega insumos OR]]&gt;1,"Evolti","Espera de insumos"),
"Evolti")))))</f>
        <v>Evolti</v>
      </c>
      <c r="D498" s="46" t="s">
        <v>159</v>
      </c>
      <c r="E498" s="152" t="s">
        <v>728</v>
      </c>
      <c r="F498" s="152">
        <v>14553</v>
      </c>
      <c r="G498" s="155" t="s">
        <v>227</v>
      </c>
      <c r="H498" s="155">
        <v>901432582</v>
      </c>
      <c r="I498" s="256" t="s">
        <v>232</v>
      </c>
      <c r="J498" s="48">
        <v>45806</v>
      </c>
      <c r="K498" s="49">
        <v>15670</v>
      </c>
      <c r="L498" s="50" t="s">
        <v>434</v>
      </c>
      <c r="M498" s="48">
        <v>45819</v>
      </c>
      <c r="N498" s="75" t="s">
        <v>542</v>
      </c>
      <c r="R498" s="72"/>
      <c r="S498" s="48"/>
      <c r="U498" s="48"/>
      <c r="V498" s="48"/>
    </row>
    <row r="499" spans="1:22" hidden="1" x14ac:dyDescent="0.25">
      <c r="A499" s="152">
        <f t="shared" si="25"/>
        <v>493</v>
      </c>
      <c r="B499" s="46" t="s">
        <v>1358</v>
      </c>
      <c r="C499" s="46" t="str">
        <f>+IF(EstadoSolicitudes[[#This Row],[Aprobado OR]]="Aprobado",EstadoSolicitudes[[#This Row],[Aprobado OR]],
IF(EstadoSolicitudes[[#This Row],[Aprobado OR]]="Cancelado",EstadoSolicitudes[[#This Row],[Aprobado OR]],
IF(EstadoSolicitudes[[#This Row],[Cargue estudio al OR]]&gt;1,"Verificación Técnica",
IF(EstadoSolicitudes[[#This Row],[Fecha solicitud estudio]]&gt;1,"Estudio de conexión",
IF(EstadoSolicitudes[[#This Row],[Insumos revisados]]="No",IF(EstadoSolicitudes[[#This Row],[Fecha entrega insumos OR]]&gt;1,"Evolti","Espera de insumos"),
"Evolti")))))</f>
        <v>Evolti</v>
      </c>
      <c r="D499" s="46" t="s">
        <v>159</v>
      </c>
      <c r="E499" s="152" t="s">
        <v>728</v>
      </c>
      <c r="F499" s="152">
        <v>14553</v>
      </c>
      <c r="G499" s="155" t="s">
        <v>227</v>
      </c>
      <c r="H499" s="155">
        <v>901432582</v>
      </c>
      <c r="I499" s="256" t="s">
        <v>267</v>
      </c>
      <c r="J499" s="48">
        <v>45806</v>
      </c>
      <c r="K499" s="49">
        <v>15672</v>
      </c>
      <c r="L499" s="50" t="s">
        <v>437</v>
      </c>
      <c r="M499" s="48">
        <v>45819</v>
      </c>
      <c r="N499" s="75" t="s">
        <v>542</v>
      </c>
      <c r="R499" s="72"/>
      <c r="S499" s="48"/>
      <c r="U499" s="48"/>
      <c r="V499" s="48"/>
    </row>
    <row r="500" spans="1:22" hidden="1" x14ac:dyDescent="0.25">
      <c r="A500" s="152">
        <f t="shared" si="25"/>
        <v>494</v>
      </c>
      <c r="B500" s="46" t="s">
        <v>1359</v>
      </c>
      <c r="C500" s="46" t="str">
        <f>+IF(EstadoSolicitudes[[#This Row],[Aprobado OR]]="Aprobado",EstadoSolicitudes[[#This Row],[Aprobado OR]],
IF(EstadoSolicitudes[[#This Row],[Aprobado OR]]="Cancelado",EstadoSolicitudes[[#This Row],[Aprobado OR]],
IF(EstadoSolicitudes[[#This Row],[Cargue estudio al OR]]&gt;1,"Verificación Técnica",
IF(EstadoSolicitudes[[#This Row],[Fecha solicitud estudio]]&gt;1,"Estudio de conexión",
IF(EstadoSolicitudes[[#This Row],[Insumos revisados]]="No",IF(EstadoSolicitudes[[#This Row],[Fecha entrega insumos OR]]&gt;1,"Evolti","Espera de insumos"),
"Evolti")))))</f>
        <v>Evolti</v>
      </c>
      <c r="D500" s="46" t="s">
        <v>159</v>
      </c>
      <c r="E500" s="152" t="s">
        <v>728</v>
      </c>
      <c r="F500" s="152">
        <v>14553</v>
      </c>
      <c r="G500" s="155" t="s">
        <v>227</v>
      </c>
      <c r="H500" s="155">
        <v>901432582</v>
      </c>
      <c r="I500" s="256" t="s">
        <v>537</v>
      </c>
      <c r="J500" s="48">
        <v>45806</v>
      </c>
      <c r="K500" s="49">
        <v>15674</v>
      </c>
      <c r="L500" s="50" t="s">
        <v>578</v>
      </c>
      <c r="M500" s="48">
        <v>45819</v>
      </c>
      <c r="N500" s="75" t="s">
        <v>542</v>
      </c>
      <c r="R500" s="72"/>
      <c r="S500" s="48"/>
      <c r="U500" s="48"/>
      <c r="V500" s="48"/>
    </row>
    <row r="501" spans="1:22" hidden="1" x14ac:dyDescent="0.25">
      <c r="A501" s="152">
        <f t="shared" ref="A501:A512" si="26">+A500+1</f>
        <v>495</v>
      </c>
      <c r="B501" s="46" t="s">
        <v>1371</v>
      </c>
      <c r="C501" s="46" t="str">
        <f>+IF(EstadoSolicitudes[[#This Row],[Aprobado OR]]="Aprobado",EstadoSolicitudes[[#This Row],[Aprobado OR]],
IF(EstadoSolicitudes[[#This Row],[Aprobado OR]]="Cancelado",EstadoSolicitudes[[#This Row],[Aprobado OR]],
IF(EstadoSolicitudes[[#This Row],[Cargue estudio al OR]]&gt;1,"Verificación Técnica",
IF(EstadoSolicitudes[[#This Row],[Fecha solicitud estudio]]&gt;1,"Estudio de conexión",
IF(EstadoSolicitudes[[#This Row],[Insumos revisados]]="No",IF(EstadoSolicitudes[[#This Row],[Fecha entrega insumos OR]]&gt;1,"Evolti","Espera de insumos"),
"Evolti")))))</f>
        <v>Evolti</v>
      </c>
      <c r="D501" s="46" t="s">
        <v>161</v>
      </c>
      <c r="E501" s="152" t="s">
        <v>520</v>
      </c>
      <c r="F501" s="152">
        <v>10509</v>
      </c>
      <c r="G501" s="135" t="s">
        <v>227</v>
      </c>
      <c r="H501" s="46">
        <v>901432582</v>
      </c>
      <c r="I501" s="160" t="s">
        <v>232</v>
      </c>
      <c r="J501" s="48">
        <v>45859</v>
      </c>
      <c r="K501" s="49">
        <v>65590102</v>
      </c>
      <c r="L501" s="50" t="s">
        <v>1377</v>
      </c>
      <c r="M501" s="48">
        <v>45863</v>
      </c>
      <c r="N501" s="75" t="s">
        <v>542</v>
      </c>
      <c r="R501" s="72"/>
      <c r="S501" s="48"/>
      <c r="U501" s="48"/>
      <c r="V501" s="48"/>
    </row>
    <row r="502" spans="1:22" hidden="1" x14ac:dyDescent="0.25">
      <c r="A502" s="152">
        <f t="shared" si="26"/>
        <v>496</v>
      </c>
      <c r="B502" s="46" t="s">
        <v>1372</v>
      </c>
      <c r="C502" s="46" t="str">
        <f>+IF(EstadoSolicitudes[[#This Row],[Aprobado OR]]="Aprobado",EstadoSolicitudes[[#This Row],[Aprobado OR]],
IF(EstadoSolicitudes[[#This Row],[Aprobado OR]]="Cancelado",EstadoSolicitudes[[#This Row],[Aprobado OR]],
IF(EstadoSolicitudes[[#This Row],[Cargue estudio al OR]]&gt;1,"Verificación Técnica",
IF(EstadoSolicitudes[[#This Row],[Fecha solicitud estudio]]&gt;1,"Estudio de conexión",
IF(EstadoSolicitudes[[#This Row],[Insumos revisados]]="No",IF(EstadoSolicitudes[[#This Row],[Fecha entrega insumos OR]]&gt;1,"Evolti","Espera de insumos"),
"Evolti")))))</f>
        <v>Evolti</v>
      </c>
      <c r="D502" s="46" t="s">
        <v>161</v>
      </c>
      <c r="E502" s="152" t="s">
        <v>520</v>
      </c>
      <c r="F502" s="152">
        <v>10509</v>
      </c>
      <c r="G502" s="135" t="s">
        <v>227</v>
      </c>
      <c r="H502" s="46">
        <v>901432582</v>
      </c>
      <c r="I502" s="160" t="s">
        <v>232</v>
      </c>
      <c r="J502" s="48">
        <v>45859</v>
      </c>
      <c r="K502" s="49">
        <v>65590481</v>
      </c>
      <c r="L502" s="50" t="s">
        <v>1378</v>
      </c>
      <c r="M502" s="48">
        <v>45863</v>
      </c>
      <c r="N502" s="75" t="s">
        <v>542</v>
      </c>
      <c r="R502" s="72"/>
      <c r="S502" s="48"/>
      <c r="U502" s="48"/>
      <c r="V502" s="48"/>
    </row>
    <row r="503" spans="1:22" hidden="1" x14ac:dyDescent="0.25">
      <c r="A503" s="152">
        <f t="shared" si="26"/>
        <v>497</v>
      </c>
      <c r="B503" s="46" t="s">
        <v>1373</v>
      </c>
      <c r="C503" s="46" t="str">
        <f>+IF(EstadoSolicitudes[[#This Row],[Aprobado OR]]="Aprobado",EstadoSolicitudes[[#This Row],[Aprobado OR]],
IF(EstadoSolicitudes[[#This Row],[Aprobado OR]]="Cancelado",EstadoSolicitudes[[#This Row],[Aprobado OR]],
IF(EstadoSolicitudes[[#This Row],[Cargue estudio al OR]]&gt;1,"Verificación Técnica",
IF(EstadoSolicitudes[[#This Row],[Fecha solicitud estudio]]&gt;1,"Estudio de conexión",
IF(EstadoSolicitudes[[#This Row],[Insumos revisados]]="No",IF(EstadoSolicitudes[[#This Row],[Fecha entrega insumos OR]]&gt;1,"Evolti","Espera de insumos"),
"Evolti")))))</f>
        <v>Espera de insumos</v>
      </c>
      <c r="D503" s="46" t="s">
        <v>161</v>
      </c>
      <c r="E503" s="152" t="s">
        <v>520</v>
      </c>
      <c r="F503" s="152">
        <v>10509</v>
      </c>
      <c r="G503" s="135" t="s">
        <v>227</v>
      </c>
      <c r="H503" s="46">
        <v>901432582</v>
      </c>
      <c r="I503" s="160" t="s">
        <v>232</v>
      </c>
      <c r="J503" s="48">
        <v>45859</v>
      </c>
      <c r="K503" s="49">
        <v>65554812</v>
      </c>
      <c r="L503" s="50"/>
      <c r="N503" s="75" t="s">
        <v>229</v>
      </c>
      <c r="R503" s="72"/>
      <c r="S503" s="48"/>
      <c r="U503" s="48"/>
      <c r="V503" s="48"/>
    </row>
    <row r="504" spans="1:22" hidden="1" x14ac:dyDescent="0.25">
      <c r="A504" s="152">
        <f t="shared" si="26"/>
        <v>498</v>
      </c>
      <c r="B504" s="46" t="s">
        <v>1374</v>
      </c>
      <c r="C504" s="46" t="str">
        <f>+IF(EstadoSolicitudes[[#This Row],[Aprobado OR]]="Aprobado",EstadoSolicitudes[[#This Row],[Aprobado OR]],
IF(EstadoSolicitudes[[#This Row],[Aprobado OR]]="Cancelado",EstadoSolicitudes[[#This Row],[Aprobado OR]],
IF(EstadoSolicitudes[[#This Row],[Cargue estudio al OR]]&gt;1,"Verificación Técnica",
IF(EstadoSolicitudes[[#This Row],[Fecha solicitud estudio]]&gt;1,"Estudio de conexión",
IF(EstadoSolicitudes[[#This Row],[Insumos revisados]]="No",IF(EstadoSolicitudes[[#This Row],[Fecha entrega insumos OR]]&gt;1,"Evolti","Espera de insumos"),
"Evolti")))))</f>
        <v>Espera de insumos</v>
      </c>
      <c r="D504" s="46" t="s">
        <v>161</v>
      </c>
      <c r="E504" s="152" t="s">
        <v>771</v>
      </c>
      <c r="G504" s="135" t="s">
        <v>227</v>
      </c>
      <c r="H504" s="46">
        <v>901432582</v>
      </c>
      <c r="I504" s="160" t="s">
        <v>232</v>
      </c>
      <c r="J504" s="48">
        <v>45861</v>
      </c>
      <c r="K504" s="49">
        <v>65611894</v>
      </c>
      <c r="L504" s="50"/>
      <c r="N504" s="75" t="s">
        <v>229</v>
      </c>
      <c r="R504" s="72"/>
      <c r="S504" s="48"/>
      <c r="U504" s="48"/>
      <c r="V504" s="48"/>
    </row>
    <row r="505" spans="1:22" x14ac:dyDescent="0.25">
      <c r="A505" s="152">
        <f t="shared" si="26"/>
        <v>499</v>
      </c>
      <c r="B505" s="46" t="s">
        <v>1390</v>
      </c>
      <c r="C505" s="46" t="str">
        <f>+IF(EstadoSolicitudes[[#This Row],[Aprobado OR]]="Aprobado",EstadoSolicitudes[[#This Row],[Aprobado OR]],
IF(EstadoSolicitudes[[#This Row],[Aprobado OR]]="Cancelado",EstadoSolicitudes[[#This Row],[Aprobado OR]],
IF(EstadoSolicitudes[[#This Row],[Cargue estudio al OR]]&gt;1,"Verificación Técnica",
IF(EstadoSolicitudes[[#This Row],[Fecha solicitud estudio]]&gt;1,"Estudio de conexión",
IF(EstadoSolicitudes[[#This Row],[Insumos revisados]]="No",IF(EstadoSolicitudes[[#This Row],[Fecha entrega insumos OR]]&gt;1,"Evolti","Espera de insumos"),
"Evolti")))))</f>
        <v>Espera de insumos</v>
      </c>
      <c r="D505" s="46" t="s">
        <v>159</v>
      </c>
      <c r="F505" s="152">
        <v>13539</v>
      </c>
      <c r="G505" s="155" t="s">
        <v>227</v>
      </c>
      <c r="H505" s="155">
        <v>901432582</v>
      </c>
      <c r="I505" s="256" t="s">
        <v>232</v>
      </c>
      <c r="J505" s="48">
        <v>45868</v>
      </c>
      <c r="K505" s="49">
        <v>15884</v>
      </c>
      <c r="L505" s="50" t="s">
        <v>434</v>
      </c>
      <c r="N505" s="75" t="s">
        <v>229</v>
      </c>
      <c r="R505" s="72"/>
      <c r="S505" s="48"/>
      <c r="U505" s="48"/>
      <c r="V505" s="48"/>
    </row>
    <row r="506" spans="1:22" hidden="1" x14ac:dyDescent="0.25">
      <c r="A506" s="152">
        <f t="shared" si="26"/>
        <v>500</v>
      </c>
      <c r="B506" s="46" t="s">
        <v>1391</v>
      </c>
      <c r="C506" s="46" t="str">
        <f>+IF(EstadoSolicitudes[[#This Row],[Aprobado OR]]="Aprobado",EstadoSolicitudes[[#This Row],[Aprobado OR]],
IF(EstadoSolicitudes[[#This Row],[Aprobado OR]]="Cancelado",EstadoSolicitudes[[#This Row],[Aprobado OR]],
IF(EstadoSolicitudes[[#This Row],[Cargue estudio al OR]]&gt;1,"Verificación Técnica",
IF(EstadoSolicitudes[[#This Row],[Fecha solicitud estudio]]&gt;1,"Estudio de conexión",
IF(EstadoSolicitudes[[#This Row],[Insumos revisados]]="No",IF(EstadoSolicitudes[[#This Row],[Fecha entrega insumos OR]]&gt;1,"Evolti","Espera de insumos"),
"Evolti")))))</f>
        <v>Espera de insumos</v>
      </c>
      <c r="D506" s="46" t="s">
        <v>1230</v>
      </c>
      <c r="F506" s="152" t="s">
        <v>1392</v>
      </c>
      <c r="G506" s="155" t="s">
        <v>227</v>
      </c>
      <c r="H506" s="155">
        <v>901432582</v>
      </c>
      <c r="I506" s="256" t="s">
        <v>232</v>
      </c>
      <c r="J506" s="48">
        <v>45868</v>
      </c>
      <c r="K506" s="49">
        <v>381</v>
      </c>
      <c r="L506" s="50" t="s">
        <v>1394</v>
      </c>
      <c r="N506" s="75" t="s">
        <v>229</v>
      </c>
      <c r="R506" s="72"/>
      <c r="S506" s="48"/>
      <c r="U506" s="48"/>
      <c r="V506" s="48"/>
    </row>
    <row r="507" spans="1:22" hidden="1" x14ac:dyDescent="0.25">
      <c r="A507" s="152">
        <f t="shared" si="26"/>
        <v>501</v>
      </c>
      <c r="B507" s="46" t="s">
        <v>1393</v>
      </c>
      <c r="C507" s="46" t="str">
        <f>+IF(EstadoSolicitudes[[#This Row],[Aprobado OR]]="Aprobado",EstadoSolicitudes[[#This Row],[Aprobado OR]],
IF(EstadoSolicitudes[[#This Row],[Aprobado OR]]="Cancelado",EstadoSolicitudes[[#This Row],[Aprobado OR]],
IF(EstadoSolicitudes[[#This Row],[Cargue estudio al OR]]&gt;1,"Verificación Técnica",
IF(EstadoSolicitudes[[#This Row],[Fecha solicitud estudio]]&gt;1,"Estudio de conexión",
IF(EstadoSolicitudes[[#This Row],[Insumos revisados]]="No",IF(EstadoSolicitudes[[#This Row],[Fecha entrega insumos OR]]&gt;1,"Evolti","Espera de insumos"),
"Evolti")))))</f>
        <v>Espera de insumos</v>
      </c>
      <c r="D507" s="46" t="s">
        <v>1230</v>
      </c>
      <c r="F507" s="152" t="s">
        <v>1392</v>
      </c>
      <c r="G507" s="155" t="s">
        <v>227</v>
      </c>
      <c r="H507" s="155">
        <v>901432582</v>
      </c>
      <c r="I507" s="256" t="s">
        <v>267</v>
      </c>
      <c r="J507" s="48">
        <v>45868</v>
      </c>
      <c r="K507" s="49">
        <v>382</v>
      </c>
      <c r="L507" s="50" t="s">
        <v>1395</v>
      </c>
      <c r="N507" s="75" t="s">
        <v>229</v>
      </c>
      <c r="R507" s="72"/>
      <c r="S507" s="48"/>
      <c r="U507" s="48"/>
      <c r="V507" s="48"/>
    </row>
    <row r="508" spans="1:22" hidden="1" x14ac:dyDescent="0.25">
      <c r="A508" s="152">
        <f>+A507+1</f>
        <v>502</v>
      </c>
      <c r="B508" s="46" t="s">
        <v>1399</v>
      </c>
      <c r="C508" s="46" t="str">
        <f>+IF(EstadoSolicitudes[[#This Row],[Aprobado OR]]="Aprobado",EstadoSolicitudes[[#This Row],[Aprobado OR]],
IF(EstadoSolicitudes[[#This Row],[Aprobado OR]]="Cancelado",EstadoSolicitudes[[#This Row],[Aprobado OR]],
IF(EstadoSolicitudes[[#This Row],[Cargue estudio al OR]]&gt;1,"Verificación Técnica",
IF(EstadoSolicitudes[[#This Row],[Fecha solicitud estudio]]&gt;1,"Estudio de conexión",
IF(EstadoSolicitudes[[#This Row],[Insumos revisados]]="No",IF(EstadoSolicitudes[[#This Row],[Fecha entrega insumos OR]]&gt;1,"Evolti","Espera de insumos"),
"Evolti")))))</f>
        <v>Espera de insumos</v>
      </c>
      <c r="D508" s="46" t="s">
        <v>1230</v>
      </c>
      <c r="F508" s="152" t="s">
        <v>1401</v>
      </c>
      <c r="G508" s="155" t="s">
        <v>227</v>
      </c>
      <c r="H508" s="155">
        <v>901432582</v>
      </c>
      <c r="I508" s="256" t="s">
        <v>232</v>
      </c>
      <c r="J508" s="48">
        <v>45868</v>
      </c>
      <c r="K508" s="49">
        <v>383</v>
      </c>
      <c r="L508" s="50" t="s">
        <v>1394</v>
      </c>
      <c r="N508" s="75" t="s">
        <v>229</v>
      </c>
      <c r="R508" s="72"/>
      <c r="S508" s="48"/>
      <c r="U508" s="48"/>
      <c r="V508" s="48"/>
    </row>
    <row r="509" spans="1:22" hidden="1" x14ac:dyDescent="0.25">
      <c r="A509" s="152">
        <f>+A508+1</f>
        <v>503</v>
      </c>
      <c r="B509" s="46" t="s">
        <v>1400</v>
      </c>
      <c r="C509" s="46" t="str">
        <f>+IF(EstadoSolicitudes[[#This Row],[Aprobado OR]]="Aprobado",EstadoSolicitudes[[#This Row],[Aprobado OR]],
IF(EstadoSolicitudes[[#This Row],[Aprobado OR]]="Cancelado",EstadoSolicitudes[[#This Row],[Aprobado OR]],
IF(EstadoSolicitudes[[#This Row],[Cargue estudio al OR]]&gt;1,"Verificación Técnica",
IF(EstadoSolicitudes[[#This Row],[Fecha solicitud estudio]]&gt;1,"Estudio de conexión",
IF(EstadoSolicitudes[[#This Row],[Insumos revisados]]="No",IF(EstadoSolicitudes[[#This Row],[Fecha entrega insumos OR]]&gt;1,"Evolti","Espera de insumos"),
"Evolti")))))</f>
        <v>Espera de insumos</v>
      </c>
      <c r="D509" s="46" t="s">
        <v>1230</v>
      </c>
      <c r="F509" s="152" t="s">
        <v>1401</v>
      </c>
      <c r="G509" s="155" t="s">
        <v>227</v>
      </c>
      <c r="H509" s="155">
        <v>901432582</v>
      </c>
      <c r="I509" s="256" t="s">
        <v>267</v>
      </c>
      <c r="J509" s="48">
        <v>45868</v>
      </c>
      <c r="K509" s="49">
        <v>384</v>
      </c>
      <c r="L509" s="50" t="s">
        <v>1395</v>
      </c>
      <c r="N509" s="75" t="s">
        <v>229</v>
      </c>
      <c r="R509" s="72"/>
      <c r="S509" s="48"/>
      <c r="U509" s="48"/>
      <c r="V509" s="48"/>
    </row>
    <row r="510" spans="1:22" hidden="1" x14ac:dyDescent="0.25">
      <c r="A510" s="152">
        <f t="shared" si="26"/>
        <v>504</v>
      </c>
      <c r="B510" s="46" t="s">
        <v>1402</v>
      </c>
      <c r="C510" s="46" t="str">
        <f>+IF(EstadoSolicitudes[[#This Row],[Aprobado OR]]="Aprobado",EstadoSolicitudes[[#This Row],[Aprobado OR]],
IF(EstadoSolicitudes[[#This Row],[Aprobado OR]]="Cancelado",EstadoSolicitudes[[#This Row],[Aprobado OR]],
IF(EstadoSolicitudes[[#This Row],[Cargue estudio al OR]]&gt;1,"Verificación Técnica",
IF(EstadoSolicitudes[[#This Row],[Fecha solicitud estudio]]&gt;1,"Estudio de conexión",
IF(EstadoSolicitudes[[#This Row],[Insumos revisados]]="No",IF(EstadoSolicitudes[[#This Row],[Fecha entrega insumos OR]]&gt;1,"Evolti","Espera de insumos"),
"Evolti")))))</f>
        <v>Espera de insumos</v>
      </c>
      <c r="D510" s="46" t="s">
        <v>1230</v>
      </c>
      <c r="F510" s="152" t="s">
        <v>1403</v>
      </c>
      <c r="G510" s="155" t="s">
        <v>227</v>
      </c>
      <c r="H510" s="155">
        <v>901432582</v>
      </c>
      <c r="I510" s="256" t="s">
        <v>232</v>
      </c>
      <c r="J510" s="48">
        <v>45868</v>
      </c>
      <c r="K510" s="49">
        <v>385</v>
      </c>
      <c r="L510" s="50" t="s">
        <v>1394</v>
      </c>
      <c r="N510" s="75" t="s">
        <v>229</v>
      </c>
      <c r="R510" s="72"/>
      <c r="S510" s="48"/>
      <c r="U510" s="48"/>
      <c r="V510" s="48"/>
    </row>
    <row r="511" spans="1:22" hidden="1" x14ac:dyDescent="0.25">
      <c r="A511" s="152">
        <f t="shared" si="26"/>
        <v>505</v>
      </c>
      <c r="B511" s="46" t="s">
        <v>1404</v>
      </c>
      <c r="C511" s="46" t="str">
        <f>+IF(EstadoSolicitudes[[#This Row],[Aprobado OR]]="Aprobado",EstadoSolicitudes[[#This Row],[Aprobado OR]],
IF(EstadoSolicitudes[[#This Row],[Aprobado OR]]="Cancelado",EstadoSolicitudes[[#This Row],[Aprobado OR]],
IF(EstadoSolicitudes[[#This Row],[Cargue estudio al OR]]&gt;1,"Verificación Técnica",
IF(EstadoSolicitudes[[#This Row],[Fecha solicitud estudio]]&gt;1,"Estudio de conexión",
IF(EstadoSolicitudes[[#This Row],[Insumos revisados]]="No",IF(EstadoSolicitudes[[#This Row],[Fecha entrega insumos OR]]&gt;1,"Evolti","Espera de insumos"),
"Evolti")))))</f>
        <v>Espera de insumos</v>
      </c>
      <c r="D511" s="46" t="s">
        <v>1230</v>
      </c>
      <c r="F511" s="152" t="s">
        <v>1403</v>
      </c>
      <c r="G511" s="155" t="s">
        <v>227</v>
      </c>
      <c r="H511" s="155">
        <v>901432582</v>
      </c>
      <c r="I511" s="256" t="s">
        <v>267</v>
      </c>
      <c r="J511" s="48">
        <v>45868</v>
      </c>
      <c r="K511" s="49">
        <v>386</v>
      </c>
      <c r="L511" s="50" t="s">
        <v>1395</v>
      </c>
      <c r="N511" s="75" t="s">
        <v>229</v>
      </c>
      <c r="R511" s="72"/>
      <c r="S511" s="48"/>
      <c r="U511" s="48"/>
      <c r="V511" s="48"/>
    </row>
    <row r="512" spans="1:22" hidden="1" x14ac:dyDescent="0.25">
      <c r="A512" s="152">
        <f t="shared" si="26"/>
        <v>506</v>
      </c>
      <c r="B512" s="46" t="s">
        <v>1407</v>
      </c>
      <c r="C512" s="46" t="str">
        <f>+IF(EstadoSolicitudes[[#This Row],[Aprobado OR]]="Aprobado",EstadoSolicitudes[[#This Row],[Aprobado OR]],
IF(EstadoSolicitudes[[#This Row],[Aprobado OR]]="Cancelado",EstadoSolicitudes[[#This Row],[Aprobado OR]],
IF(EstadoSolicitudes[[#This Row],[Cargue estudio al OR]]&gt;1,"Verificación Técnica",
IF(EstadoSolicitudes[[#This Row],[Fecha solicitud estudio]]&gt;1,"Estudio de conexión",
IF(EstadoSolicitudes[[#This Row],[Insumos revisados]]="No",IF(EstadoSolicitudes[[#This Row],[Fecha entrega insumos OR]]&gt;1,"Evolti","Espera de insumos"),
"Evolti")))))</f>
        <v>Espera de insumos</v>
      </c>
      <c r="D512" s="46" t="s">
        <v>1230</v>
      </c>
      <c r="F512" s="152" t="s">
        <v>1408</v>
      </c>
      <c r="G512" s="155" t="s">
        <v>227</v>
      </c>
      <c r="H512" s="155">
        <v>901432582</v>
      </c>
      <c r="I512" s="256" t="s">
        <v>267</v>
      </c>
      <c r="J512" s="48">
        <v>45869</v>
      </c>
      <c r="K512" s="49">
        <v>387</v>
      </c>
      <c r="L512" s="50" t="s">
        <v>1394</v>
      </c>
      <c r="N512" s="75" t="s">
        <v>229</v>
      </c>
      <c r="R512" s="72"/>
      <c r="S512" s="48"/>
      <c r="U512" s="48"/>
      <c r="V512" s="48"/>
    </row>
    <row r="513" spans="1:22" hidden="1" x14ac:dyDescent="0.25">
      <c r="A513" s="152">
        <f t="shared" ref="A513:A522" si="27">+A512+1</f>
        <v>507</v>
      </c>
      <c r="B513" s="46" t="s">
        <v>1409</v>
      </c>
      <c r="C513" s="46" t="str">
        <f>+IF(EstadoSolicitudes[[#This Row],[Aprobado OR]]="Aprobado",EstadoSolicitudes[[#This Row],[Aprobado OR]],
IF(EstadoSolicitudes[[#This Row],[Aprobado OR]]="Cancelado",EstadoSolicitudes[[#This Row],[Aprobado OR]],
IF(EstadoSolicitudes[[#This Row],[Cargue estudio al OR]]&gt;1,"Verificación Técnica",
IF(EstadoSolicitudes[[#This Row],[Fecha solicitud estudio]]&gt;1,"Estudio de conexión",
IF(EstadoSolicitudes[[#This Row],[Insumos revisados]]="No",IF(EstadoSolicitudes[[#This Row],[Fecha entrega insumos OR]]&gt;1,"Evolti","Espera de insumos"),
"Evolti")))))</f>
        <v>Espera de insumos</v>
      </c>
      <c r="D513" s="46" t="s">
        <v>1230</v>
      </c>
      <c r="F513" s="152" t="s">
        <v>1408</v>
      </c>
      <c r="G513" s="155" t="s">
        <v>227</v>
      </c>
      <c r="H513" s="155">
        <v>901432582</v>
      </c>
      <c r="I513" s="256" t="s">
        <v>267</v>
      </c>
      <c r="J513" s="48">
        <v>45869</v>
      </c>
      <c r="K513" s="49">
        <v>388</v>
      </c>
      <c r="L513" s="50" t="s">
        <v>1395</v>
      </c>
      <c r="N513" s="75" t="s">
        <v>229</v>
      </c>
      <c r="R513" s="72"/>
      <c r="S513" s="48"/>
      <c r="U513" s="48"/>
      <c r="V513" s="48"/>
    </row>
    <row r="514" spans="1:22" hidden="1" x14ac:dyDescent="0.25">
      <c r="A514" s="152">
        <f t="shared" si="27"/>
        <v>508</v>
      </c>
      <c r="B514" s="46" t="s">
        <v>1413</v>
      </c>
      <c r="C514" s="46" t="str">
        <f>+IF(EstadoSolicitudes[[#This Row],[Aprobado OR]]="Aprobado",EstadoSolicitudes[[#This Row],[Aprobado OR]],
IF(EstadoSolicitudes[[#This Row],[Aprobado OR]]="Cancelado",EstadoSolicitudes[[#This Row],[Aprobado OR]],
IF(EstadoSolicitudes[[#This Row],[Cargue estudio al OR]]&gt;1,"Verificación Técnica",
IF(EstadoSolicitudes[[#This Row],[Fecha solicitud estudio]]&gt;1,"Estudio de conexión",
IF(EstadoSolicitudes[[#This Row],[Insumos revisados]]="No",IF(EstadoSolicitudes[[#This Row],[Fecha entrega insumos OR]]&gt;1,"Evolti","Espera de insumos"),
"Evolti")))))</f>
        <v>Espera de insumos</v>
      </c>
      <c r="D514" s="46" t="s">
        <v>153</v>
      </c>
      <c r="F514" s="152" t="s">
        <v>1414</v>
      </c>
      <c r="G514" s="155" t="s">
        <v>227</v>
      </c>
      <c r="H514" s="155">
        <v>901432582</v>
      </c>
      <c r="I514" s="256" t="s">
        <v>232</v>
      </c>
      <c r="J514" s="48">
        <v>45873</v>
      </c>
      <c r="K514" s="49">
        <v>4601</v>
      </c>
      <c r="L514" s="50" t="s">
        <v>241</v>
      </c>
      <c r="N514" s="75" t="s">
        <v>229</v>
      </c>
      <c r="R514" s="72"/>
      <c r="S514" s="48"/>
      <c r="U514" s="48"/>
      <c r="V514" s="48"/>
    </row>
    <row r="515" spans="1:22" hidden="1" x14ac:dyDescent="0.25">
      <c r="A515" s="152">
        <f t="shared" si="27"/>
        <v>509</v>
      </c>
      <c r="B515" s="46" t="s">
        <v>1415</v>
      </c>
      <c r="C515" s="46" t="str">
        <f>+IF(EstadoSolicitudes[[#This Row],[Aprobado OR]]="Aprobado",EstadoSolicitudes[[#This Row],[Aprobado OR]],
IF(EstadoSolicitudes[[#This Row],[Aprobado OR]]="Cancelado",EstadoSolicitudes[[#This Row],[Aprobado OR]],
IF(EstadoSolicitudes[[#This Row],[Cargue estudio al OR]]&gt;1,"Verificación Técnica",
IF(EstadoSolicitudes[[#This Row],[Fecha solicitud estudio]]&gt;1,"Estudio de conexión",
IF(EstadoSolicitudes[[#This Row],[Insumos revisados]]="No",IF(EstadoSolicitudes[[#This Row],[Fecha entrega insumos OR]]&gt;1,"Evolti","Espera de insumos"),
"Evolti")))))</f>
        <v>Espera de insumos</v>
      </c>
      <c r="D515" s="46" t="s">
        <v>153</v>
      </c>
      <c r="F515" s="152" t="s">
        <v>1414</v>
      </c>
      <c r="G515" s="155" t="s">
        <v>227</v>
      </c>
      <c r="H515" s="155">
        <v>901432582</v>
      </c>
      <c r="I515" s="256" t="s">
        <v>232</v>
      </c>
      <c r="J515" s="48">
        <v>45873</v>
      </c>
      <c r="K515" s="49">
        <v>4602</v>
      </c>
      <c r="L515" s="50" t="s">
        <v>268</v>
      </c>
      <c r="N515" s="75" t="s">
        <v>229</v>
      </c>
      <c r="R515" s="72"/>
      <c r="S515" s="48"/>
      <c r="U515" s="48"/>
      <c r="V515" s="48"/>
    </row>
    <row r="516" spans="1:22" hidden="1" x14ac:dyDescent="0.25">
      <c r="A516" s="152">
        <f t="shared" si="27"/>
        <v>510</v>
      </c>
      <c r="B516" s="46" t="s">
        <v>1416</v>
      </c>
      <c r="C516" s="46" t="str">
        <f>+IF(EstadoSolicitudes[[#This Row],[Aprobado OR]]="Aprobado",EstadoSolicitudes[[#This Row],[Aprobado OR]],
IF(EstadoSolicitudes[[#This Row],[Aprobado OR]]="Cancelado",EstadoSolicitudes[[#This Row],[Aprobado OR]],
IF(EstadoSolicitudes[[#This Row],[Cargue estudio al OR]]&gt;1,"Verificación Técnica",
IF(EstadoSolicitudes[[#This Row],[Fecha solicitud estudio]]&gt;1,"Estudio de conexión",
IF(EstadoSolicitudes[[#This Row],[Insumos revisados]]="No",IF(EstadoSolicitudes[[#This Row],[Fecha entrega insumos OR]]&gt;1,"Evolti","Espera de insumos"),
"Evolti")))))</f>
        <v>Espera de insumos</v>
      </c>
      <c r="D516" s="46" t="s">
        <v>153</v>
      </c>
      <c r="F516" s="152" t="s">
        <v>1414</v>
      </c>
      <c r="G516" s="155" t="s">
        <v>227</v>
      </c>
      <c r="H516" s="155">
        <v>901432582</v>
      </c>
      <c r="I516" s="256" t="s">
        <v>232</v>
      </c>
      <c r="J516" s="48">
        <v>45873</v>
      </c>
      <c r="K516" s="49">
        <v>4603</v>
      </c>
      <c r="L516" s="50" t="s">
        <v>538</v>
      </c>
      <c r="N516" s="75" t="s">
        <v>229</v>
      </c>
      <c r="R516" s="72"/>
      <c r="S516" s="48"/>
      <c r="U516" s="48"/>
      <c r="V516" s="48"/>
    </row>
    <row r="517" spans="1:22" hidden="1" x14ac:dyDescent="0.25">
      <c r="A517" s="152">
        <f t="shared" si="27"/>
        <v>511</v>
      </c>
      <c r="B517" s="46" t="s">
        <v>1417</v>
      </c>
      <c r="C517" s="46" t="str">
        <f>+IF(EstadoSolicitudes[[#This Row],[Aprobado OR]]="Aprobado",EstadoSolicitudes[[#This Row],[Aprobado OR]],
IF(EstadoSolicitudes[[#This Row],[Aprobado OR]]="Cancelado",EstadoSolicitudes[[#This Row],[Aprobado OR]],
IF(EstadoSolicitudes[[#This Row],[Cargue estudio al OR]]&gt;1,"Verificación Técnica",
IF(EstadoSolicitudes[[#This Row],[Fecha solicitud estudio]]&gt;1,"Estudio de conexión",
IF(EstadoSolicitudes[[#This Row],[Insumos revisados]]="No",IF(EstadoSolicitudes[[#This Row],[Fecha entrega insumos OR]]&gt;1,"Evolti","Espera de insumos"),
"Evolti")))))</f>
        <v>Espera de insumos</v>
      </c>
      <c r="D517" s="46" t="s">
        <v>153</v>
      </c>
      <c r="F517" s="152" t="s">
        <v>1414</v>
      </c>
      <c r="G517" s="155" t="s">
        <v>227</v>
      </c>
      <c r="H517" s="155">
        <v>901432582</v>
      </c>
      <c r="I517" s="256" t="s">
        <v>232</v>
      </c>
      <c r="J517" s="48">
        <v>45873</v>
      </c>
      <c r="K517" s="49">
        <v>4604</v>
      </c>
      <c r="L517" s="50" t="s">
        <v>241</v>
      </c>
      <c r="N517" s="75" t="s">
        <v>229</v>
      </c>
      <c r="R517" s="72"/>
      <c r="S517" s="48"/>
      <c r="U517" s="48"/>
      <c r="V517" s="48"/>
    </row>
    <row r="518" spans="1:22" hidden="1" x14ac:dyDescent="0.25">
      <c r="A518" s="152">
        <f t="shared" si="27"/>
        <v>512</v>
      </c>
      <c r="B518" s="46" t="s">
        <v>1418</v>
      </c>
      <c r="C518" s="46" t="str">
        <f>+IF(EstadoSolicitudes[[#This Row],[Aprobado OR]]="Aprobado",EstadoSolicitudes[[#This Row],[Aprobado OR]],
IF(EstadoSolicitudes[[#This Row],[Aprobado OR]]="Cancelado",EstadoSolicitudes[[#This Row],[Aprobado OR]],
IF(EstadoSolicitudes[[#This Row],[Cargue estudio al OR]]&gt;1,"Verificación Técnica",
IF(EstadoSolicitudes[[#This Row],[Fecha solicitud estudio]]&gt;1,"Estudio de conexión",
IF(EstadoSolicitudes[[#This Row],[Insumos revisados]]="No",IF(EstadoSolicitudes[[#This Row],[Fecha entrega insumos OR]]&gt;1,"Evolti","Espera de insumos"),
"Evolti")))))</f>
        <v>Espera de insumos</v>
      </c>
      <c r="D518" s="46" t="s">
        <v>153</v>
      </c>
      <c r="F518" s="152" t="s">
        <v>1414</v>
      </c>
      <c r="G518" s="155" t="s">
        <v>227</v>
      </c>
      <c r="H518" s="155">
        <v>901432582</v>
      </c>
      <c r="I518" s="256" t="s">
        <v>232</v>
      </c>
      <c r="J518" s="48">
        <v>45873</v>
      </c>
      <c r="K518" s="49">
        <v>4605</v>
      </c>
      <c r="L518" s="50" t="s">
        <v>268</v>
      </c>
      <c r="N518" s="75" t="s">
        <v>229</v>
      </c>
      <c r="R518" s="72"/>
      <c r="S518" s="48"/>
      <c r="U518" s="48"/>
      <c r="V518" s="48"/>
    </row>
    <row r="519" spans="1:22" hidden="1" x14ac:dyDescent="0.25">
      <c r="A519" s="152">
        <f t="shared" si="27"/>
        <v>513</v>
      </c>
      <c r="B519" s="46" t="s">
        <v>1419</v>
      </c>
      <c r="C519" s="46" t="str">
        <f>+IF(EstadoSolicitudes[[#This Row],[Aprobado OR]]="Aprobado",EstadoSolicitudes[[#This Row],[Aprobado OR]],
IF(EstadoSolicitudes[[#This Row],[Aprobado OR]]="Cancelado",EstadoSolicitudes[[#This Row],[Aprobado OR]],
IF(EstadoSolicitudes[[#This Row],[Cargue estudio al OR]]&gt;1,"Verificación Técnica",
IF(EstadoSolicitudes[[#This Row],[Fecha solicitud estudio]]&gt;1,"Estudio de conexión",
IF(EstadoSolicitudes[[#This Row],[Insumos revisados]]="No",IF(EstadoSolicitudes[[#This Row],[Fecha entrega insumos OR]]&gt;1,"Evolti","Espera de insumos"),
"Evolti")))))</f>
        <v>Espera de insumos</v>
      </c>
      <c r="D519" s="46" t="s">
        <v>153</v>
      </c>
      <c r="F519" s="152" t="s">
        <v>1414</v>
      </c>
      <c r="G519" s="155" t="s">
        <v>227</v>
      </c>
      <c r="H519" s="155">
        <v>901432582</v>
      </c>
      <c r="I519" s="256" t="s">
        <v>232</v>
      </c>
      <c r="J519" s="48">
        <v>45873</v>
      </c>
      <c r="K519" s="49">
        <v>4606</v>
      </c>
      <c r="L519" s="50" t="s">
        <v>538</v>
      </c>
      <c r="N519" s="75" t="s">
        <v>229</v>
      </c>
      <c r="R519" s="72"/>
      <c r="S519" s="48"/>
      <c r="U519" s="48"/>
      <c r="V519" s="48"/>
    </row>
    <row r="520" spans="1:22" hidden="1" x14ac:dyDescent="0.25">
      <c r="A520" s="152">
        <f t="shared" si="27"/>
        <v>514</v>
      </c>
      <c r="B520" s="46" t="s">
        <v>1420</v>
      </c>
      <c r="C520" s="46" t="str">
        <f>+IF(EstadoSolicitudes[[#This Row],[Aprobado OR]]="Aprobado",EstadoSolicitudes[[#This Row],[Aprobado OR]],
IF(EstadoSolicitudes[[#This Row],[Aprobado OR]]="Cancelado",EstadoSolicitudes[[#This Row],[Aprobado OR]],
IF(EstadoSolicitudes[[#This Row],[Cargue estudio al OR]]&gt;1,"Verificación Técnica",
IF(EstadoSolicitudes[[#This Row],[Fecha solicitud estudio]]&gt;1,"Estudio de conexión",
IF(EstadoSolicitudes[[#This Row],[Insumos revisados]]="No",IF(EstadoSolicitudes[[#This Row],[Fecha entrega insumos OR]]&gt;1,"Evolti","Espera de insumos"),
"Evolti")))))</f>
        <v>Espera de insumos</v>
      </c>
      <c r="D520" s="46" t="s">
        <v>1230</v>
      </c>
      <c r="F520" s="152" t="s">
        <v>1423</v>
      </c>
      <c r="G520" s="155" t="s">
        <v>227</v>
      </c>
      <c r="H520" s="155">
        <v>901432582</v>
      </c>
      <c r="I520" s="252" t="s">
        <v>232</v>
      </c>
      <c r="J520" s="48">
        <v>45873</v>
      </c>
      <c r="K520" s="49">
        <v>421</v>
      </c>
      <c r="L520" s="50" t="s">
        <v>1394</v>
      </c>
      <c r="N520" s="75" t="s">
        <v>229</v>
      </c>
      <c r="R520" s="72"/>
      <c r="S520" s="48"/>
      <c r="U520" s="48"/>
      <c r="V520" s="48"/>
    </row>
    <row r="521" spans="1:22" hidden="1" x14ac:dyDescent="0.25">
      <c r="A521" s="152">
        <f t="shared" si="27"/>
        <v>515</v>
      </c>
      <c r="B521" s="46" t="s">
        <v>1421</v>
      </c>
      <c r="C521" s="46" t="str">
        <f>+IF(EstadoSolicitudes[[#This Row],[Aprobado OR]]="Aprobado",EstadoSolicitudes[[#This Row],[Aprobado OR]],
IF(EstadoSolicitudes[[#This Row],[Aprobado OR]]="Cancelado",EstadoSolicitudes[[#This Row],[Aprobado OR]],
IF(EstadoSolicitudes[[#This Row],[Cargue estudio al OR]]&gt;1,"Verificación Técnica",
IF(EstadoSolicitudes[[#This Row],[Fecha solicitud estudio]]&gt;1,"Estudio de conexión",
IF(EstadoSolicitudes[[#This Row],[Insumos revisados]]="No",IF(EstadoSolicitudes[[#This Row],[Fecha entrega insumos OR]]&gt;1,"Evolti","Espera de insumos"),
"Evolti")))))</f>
        <v>Espera de insumos</v>
      </c>
      <c r="D521" s="46" t="s">
        <v>1230</v>
      </c>
      <c r="F521" s="152" t="s">
        <v>1423</v>
      </c>
      <c r="G521" s="155" t="s">
        <v>227</v>
      </c>
      <c r="H521" s="155">
        <v>901432582</v>
      </c>
      <c r="I521" s="252" t="s">
        <v>267</v>
      </c>
      <c r="J521" s="48">
        <v>45873</v>
      </c>
      <c r="K521" s="49">
        <v>422</v>
      </c>
      <c r="L521" s="50" t="s">
        <v>1395</v>
      </c>
      <c r="N521" s="75" t="s">
        <v>229</v>
      </c>
      <c r="R521" s="72"/>
      <c r="S521" s="48"/>
      <c r="U521" s="48"/>
      <c r="V521" s="48"/>
    </row>
    <row r="522" spans="1:22" hidden="1" x14ac:dyDescent="0.25">
      <c r="A522" s="152">
        <f t="shared" si="27"/>
        <v>516</v>
      </c>
      <c r="B522" s="46" t="s">
        <v>1422</v>
      </c>
      <c r="C522" s="46" t="str">
        <f>+IF(EstadoSolicitudes[[#This Row],[Aprobado OR]]="Aprobado",EstadoSolicitudes[[#This Row],[Aprobado OR]],
IF(EstadoSolicitudes[[#This Row],[Aprobado OR]]="Cancelado",EstadoSolicitudes[[#This Row],[Aprobado OR]],
IF(EstadoSolicitudes[[#This Row],[Cargue estudio al OR]]&gt;1,"Verificación Técnica",
IF(EstadoSolicitudes[[#This Row],[Fecha solicitud estudio]]&gt;1,"Estudio de conexión",
IF(EstadoSolicitudes[[#This Row],[Insumos revisados]]="No",IF(EstadoSolicitudes[[#This Row],[Fecha entrega insumos OR]]&gt;1,"Evolti","Espera de insumos"),
"Evolti")))))</f>
        <v>Espera de insumos</v>
      </c>
      <c r="D522" s="46" t="s">
        <v>1230</v>
      </c>
      <c r="F522" s="152" t="s">
        <v>1423</v>
      </c>
      <c r="G522" s="155" t="s">
        <v>227</v>
      </c>
      <c r="H522" s="155">
        <v>901432582</v>
      </c>
      <c r="I522" s="252" t="s">
        <v>529</v>
      </c>
      <c r="J522" s="48">
        <v>45873</v>
      </c>
      <c r="K522" s="49">
        <v>423</v>
      </c>
      <c r="L522" s="241">
        <v>736325</v>
      </c>
      <c r="N522" s="75" t="s">
        <v>229</v>
      </c>
      <c r="R522" s="72"/>
      <c r="S522" s="48"/>
      <c r="U522" s="48"/>
      <c r="V522" s="48"/>
    </row>
    <row r="523" spans="1:22" hidden="1" x14ac:dyDescent="0.25">
      <c r="A523" s="152">
        <f t="shared" ref="A523:A542" si="28">+A522+1</f>
        <v>517</v>
      </c>
      <c r="B523" s="46" t="s">
        <v>1426</v>
      </c>
      <c r="C523" s="46" t="str">
        <f>+IF(EstadoSolicitudes[[#This Row],[Aprobado OR]]="Aprobado",EstadoSolicitudes[[#This Row],[Aprobado OR]],
IF(EstadoSolicitudes[[#This Row],[Aprobado OR]]="Cancelado",EstadoSolicitudes[[#This Row],[Aprobado OR]],
IF(EstadoSolicitudes[[#This Row],[Cargue estudio al OR]]&gt;1,"Verificación Técnica",
IF(EstadoSolicitudes[[#This Row],[Fecha solicitud estudio]]&gt;1,"Estudio de conexión",
IF(EstadoSolicitudes[[#This Row],[Insumos revisados]]="No",IF(EstadoSolicitudes[[#This Row],[Fecha entrega insumos OR]]&gt;1,"Evolti","Espera de insumos"),
"Evolti")))))</f>
        <v>Espera de insumos</v>
      </c>
      <c r="D523" s="46" t="s">
        <v>153</v>
      </c>
      <c r="F523" s="152" t="s">
        <v>1425</v>
      </c>
      <c r="G523" s="155" t="s">
        <v>227</v>
      </c>
      <c r="H523" s="155">
        <v>901432582</v>
      </c>
      <c r="I523" s="256" t="s">
        <v>232</v>
      </c>
      <c r="J523" s="48">
        <v>45873</v>
      </c>
      <c r="K523" s="49">
        <v>4607</v>
      </c>
      <c r="L523" s="50" t="s">
        <v>241</v>
      </c>
      <c r="N523" s="75" t="s">
        <v>229</v>
      </c>
      <c r="R523" s="72"/>
      <c r="S523" s="48"/>
      <c r="U523" s="48"/>
      <c r="V523" s="48"/>
    </row>
    <row r="524" spans="1:22" hidden="1" x14ac:dyDescent="0.25">
      <c r="A524" s="152">
        <f t="shared" si="28"/>
        <v>518</v>
      </c>
      <c r="B524" s="46" t="s">
        <v>1427</v>
      </c>
      <c r="C524" s="46" t="str">
        <f>+IF(EstadoSolicitudes[[#This Row],[Aprobado OR]]="Aprobado",EstadoSolicitudes[[#This Row],[Aprobado OR]],
IF(EstadoSolicitudes[[#This Row],[Aprobado OR]]="Cancelado",EstadoSolicitudes[[#This Row],[Aprobado OR]],
IF(EstadoSolicitudes[[#This Row],[Cargue estudio al OR]]&gt;1,"Verificación Técnica",
IF(EstadoSolicitudes[[#This Row],[Fecha solicitud estudio]]&gt;1,"Estudio de conexión",
IF(EstadoSolicitudes[[#This Row],[Insumos revisados]]="No",IF(EstadoSolicitudes[[#This Row],[Fecha entrega insumos OR]]&gt;1,"Evolti","Espera de insumos"),
"Evolti")))))</f>
        <v>Espera de insumos</v>
      </c>
      <c r="D524" s="46" t="s">
        <v>153</v>
      </c>
      <c r="F524" s="152" t="s">
        <v>1425</v>
      </c>
      <c r="G524" s="155" t="s">
        <v>227</v>
      </c>
      <c r="H524" s="155">
        <v>901432582</v>
      </c>
      <c r="I524" s="256" t="s">
        <v>232</v>
      </c>
      <c r="J524" s="48">
        <v>45873</v>
      </c>
      <c r="K524" s="49">
        <v>4608</v>
      </c>
      <c r="L524" s="50" t="s">
        <v>268</v>
      </c>
      <c r="N524" s="75" t="s">
        <v>229</v>
      </c>
      <c r="R524" s="72"/>
      <c r="S524" s="48"/>
      <c r="U524" s="48"/>
      <c r="V524" s="48"/>
    </row>
    <row r="525" spans="1:22" hidden="1" x14ac:dyDescent="0.25">
      <c r="A525" s="152">
        <f t="shared" si="28"/>
        <v>519</v>
      </c>
      <c r="B525" s="46" t="s">
        <v>1428</v>
      </c>
      <c r="C525" s="46" t="str">
        <f>+IF(EstadoSolicitudes[[#This Row],[Aprobado OR]]="Aprobado",EstadoSolicitudes[[#This Row],[Aprobado OR]],
IF(EstadoSolicitudes[[#This Row],[Aprobado OR]]="Cancelado",EstadoSolicitudes[[#This Row],[Aprobado OR]],
IF(EstadoSolicitudes[[#This Row],[Cargue estudio al OR]]&gt;1,"Verificación Técnica",
IF(EstadoSolicitudes[[#This Row],[Fecha solicitud estudio]]&gt;1,"Estudio de conexión",
IF(EstadoSolicitudes[[#This Row],[Insumos revisados]]="No",IF(EstadoSolicitudes[[#This Row],[Fecha entrega insumos OR]]&gt;1,"Evolti","Espera de insumos"),
"Evolti")))))</f>
        <v>Espera de insumos</v>
      </c>
      <c r="D525" s="46" t="s">
        <v>153</v>
      </c>
      <c r="F525" s="152" t="s">
        <v>1425</v>
      </c>
      <c r="G525" s="155" t="s">
        <v>227</v>
      </c>
      <c r="H525" s="155">
        <v>901432582</v>
      </c>
      <c r="I525" s="256" t="s">
        <v>232</v>
      </c>
      <c r="J525" s="48">
        <v>45873</v>
      </c>
      <c r="K525" s="49">
        <v>4609</v>
      </c>
      <c r="L525" s="50" t="s">
        <v>538</v>
      </c>
      <c r="N525" s="75" t="s">
        <v>229</v>
      </c>
      <c r="R525" s="72"/>
      <c r="S525" s="48"/>
      <c r="U525" s="48"/>
      <c r="V525" s="48"/>
    </row>
    <row r="526" spans="1:22" hidden="1" x14ac:dyDescent="0.25">
      <c r="A526" s="152">
        <f t="shared" si="28"/>
        <v>520</v>
      </c>
      <c r="B526" s="46" t="s">
        <v>1429</v>
      </c>
      <c r="C526" s="46" t="str">
        <f>+IF(EstadoSolicitudes[[#This Row],[Aprobado OR]]="Aprobado",EstadoSolicitudes[[#This Row],[Aprobado OR]],
IF(EstadoSolicitudes[[#This Row],[Aprobado OR]]="Cancelado",EstadoSolicitudes[[#This Row],[Aprobado OR]],
IF(EstadoSolicitudes[[#This Row],[Cargue estudio al OR]]&gt;1,"Verificación Técnica",
IF(EstadoSolicitudes[[#This Row],[Fecha solicitud estudio]]&gt;1,"Estudio de conexión",
IF(EstadoSolicitudes[[#This Row],[Insumos revisados]]="No",IF(EstadoSolicitudes[[#This Row],[Fecha entrega insumos OR]]&gt;1,"Evolti","Espera de insumos"),
"Evolti")))))</f>
        <v>Espera de insumos</v>
      </c>
      <c r="D526" s="46" t="s">
        <v>153</v>
      </c>
      <c r="F526" s="152" t="s">
        <v>1430</v>
      </c>
      <c r="G526" s="155" t="s">
        <v>227</v>
      </c>
      <c r="H526" s="155">
        <v>901432582</v>
      </c>
      <c r="I526" s="256" t="s">
        <v>232</v>
      </c>
      <c r="J526" s="48">
        <v>45873</v>
      </c>
      <c r="K526" s="49">
        <v>4610</v>
      </c>
      <c r="L526" s="50" t="s">
        <v>241</v>
      </c>
      <c r="N526" s="75" t="s">
        <v>229</v>
      </c>
      <c r="R526" s="72"/>
      <c r="S526" s="48"/>
      <c r="U526" s="48"/>
      <c r="V526" s="48"/>
    </row>
    <row r="527" spans="1:22" hidden="1" x14ac:dyDescent="0.25">
      <c r="A527" s="152">
        <f t="shared" si="28"/>
        <v>521</v>
      </c>
      <c r="B527" s="46" t="s">
        <v>1431</v>
      </c>
      <c r="C527" s="46" t="str">
        <f>+IF(EstadoSolicitudes[[#This Row],[Aprobado OR]]="Aprobado",EstadoSolicitudes[[#This Row],[Aprobado OR]],
IF(EstadoSolicitudes[[#This Row],[Aprobado OR]]="Cancelado",EstadoSolicitudes[[#This Row],[Aprobado OR]],
IF(EstadoSolicitudes[[#This Row],[Cargue estudio al OR]]&gt;1,"Verificación Técnica",
IF(EstadoSolicitudes[[#This Row],[Fecha solicitud estudio]]&gt;1,"Estudio de conexión",
IF(EstadoSolicitudes[[#This Row],[Insumos revisados]]="No",IF(EstadoSolicitudes[[#This Row],[Fecha entrega insumos OR]]&gt;1,"Evolti","Espera de insumos"),
"Evolti")))))</f>
        <v>Espera de insumos</v>
      </c>
      <c r="D527" s="46" t="s">
        <v>153</v>
      </c>
      <c r="F527" s="152" t="s">
        <v>1430</v>
      </c>
      <c r="G527" s="155" t="s">
        <v>227</v>
      </c>
      <c r="H527" s="155">
        <v>901432582</v>
      </c>
      <c r="I527" s="256" t="s">
        <v>232</v>
      </c>
      <c r="J527" s="48">
        <v>45873</v>
      </c>
      <c r="K527" s="49">
        <v>4611</v>
      </c>
      <c r="L527" s="50" t="s">
        <v>268</v>
      </c>
      <c r="N527" s="75" t="s">
        <v>229</v>
      </c>
      <c r="R527" s="72"/>
      <c r="S527" s="48"/>
      <c r="U527" s="48"/>
      <c r="V527" s="48"/>
    </row>
    <row r="528" spans="1:22" hidden="1" x14ac:dyDescent="0.25">
      <c r="A528" s="152">
        <f t="shared" si="28"/>
        <v>522</v>
      </c>
      <c r="B528" s="46" t="s">
        <v>1432</v>
      </c>
      <c r="C528" s="46" t="str">
        <f>+IF(EstadoSolicitudes[[#This Row],[Aprobado OR]]="Aprobado",EstadoSolicitudes[[#This Row],[Aprobado OR]],
IF(EstadoSolicitudes[[#This Row],[Aprobado OR]]="Cancelado",EstadoSolicitudes[[#This Row],[Aprobado OR]],
IF(EstadoSolicitudes[[#This Row],[Cargue estudio al OR]]&gt;1,"Verificación Técnica",
IF(EstadoSolicitudes[[#This Row],[Fecha solicitud estudio]]&gt;1,"Estudio de conexión",
IF(EstadoSolicitudes[[#This Row],[Insumos revisados]]="No",IF(EstadoSolicitudes[[#This Row],[Fecha entrega insumos OR]]&gt;1,"Evolti","Espera de insumos"),
"Evolti")))))</f>
        <v>Espera de insumos</v>
      </c>
      <c r="D528" s="46" t="s">
        <v>153</v>
      </c>
      <c r="F528" s="152" t="s">
        <v>1430</v>
      </c>
      <c r="G528" s="155" t="s">
        <v>227</v>
      </c>
      <c r="H528" s="155">
        <v>901432582</v>
      </c>
      <c r="I528" s="256" t="s">
        <v>232</v>
      </c>
      <c r="J528" s="48">
        <v>45873</v>
      </c>
      <c r="K528" s="49">
        <v>4612</v>
      </c>
      <c r="L528" s="50" t="s">
        <v>538</v>
      </c>
      <c r="N528" s="75" t="s">
        <v>229</v>
      </c>
      <c r="R528" s="72"/>
      <c r="S528" s="48"/>
      <c r="U528" s="48"/>
      <c r="V528" s="48"/>
    </row>
    <row r="529" spans="1:24" hidden="1" x14ac:dyDescent="0.25">
      <c r="A529" s="152">
        <f t="shared" si="28"/>
        <v>523</v>
      </c>
      <c r="B529" s="46" t="s">
        <v>1420</v>
      </c>
      <c r="C529" s="46" t="str">
        <f>+IF(EstadoSolicitudes[[#This Row],[Aprobado OR]]="Aprobado",EstadoSolicitudes[[#This Row],[Aprobado OR]],
IF(EstadoSolicitudes[[#This Row],[Aprobado OR]]="Cancelado",EstadoSolicitudes[[#This Row],[Aprobado OR]],
IF(EstadoSolicitudes[[#This Row],[Cargue estudio al OR]]&gt;1,"Verificación Técnica",
IF(EstadoSolicitudes[[#This Row],[Fecha solicitud estudio]]&gt;1,"Estudio de conexión",
IF(EstadoSolicitudes[[#This Row],[Insumos revisados]]="No",IF(EstadoSolicitudes[[#This Row],[Fecha entrega insumos OR]]&gt;1,"Evolti","Espera de insumos"),
"Evolti")))))</f>
        <v>Espera de insumos</v>
      </c>
      <c r="D529" s="46" t="s">
        <v>1230</v>
      </c>
      <c r="F529" s="152" t="s">
        <v>1423</v>
      </c>
      <c r="G529" s="155" t="s">
        <v>227</v>
      </c>
      <c r="H529" s="155">
        <v>901432582</v>
      </c>
      <c r="I529" s="252" t="s">
        <v>232</v>
      </c>
      <c r="J529" s="48">
        <v>45873</v>
      </c>
      <c r="K529" s="49">
        <v>421</v>
      </c>
      <c r="L529" s="50" t="s">
        <v>1394</v>
      </c>
      <c r="N529" s="75" t="s">
        <v>229</v>
      </c>
      <c r="R529" s="72"/>
      <c r="S529" s="48"/>
      <c r="U529" s="48"/>
      <c r="V529" s="48"/>
    </row>
    <row r="530" spans="1:24" hidden="1" x14ac:dyDescent="0.25">
      <c r="A530" s="152">
        <f t="shared" si="28"/>
        <v>524</v>
      </c>
      <c r="B530" s="46" t="s">
        <v>1421</v>
      </c>
      <c r="C530" s="46" t="str">
        <f>+IF(EstadoSolicitudes[[#This Row],[Aprobado OR]]="Aprobado",EstadoSolicitudes[[#This Row],[Aprobado OR]],
IF(EstadoSolicitudes[[#This Row],[Aprobado OR]]="Cancelado",EstadoSolicitudes[[#This Row],[Aprobado OR]],
IF(EstadoSolicitudes[[#This Row],[Cargue estudio al OR]]&gt;1,"Verificación Técnica",
IF(EstadoSolicitudes[[#This Row],[Fecha solicitud estudio]]&gt;1,"Estudio de conexión",
IF(EstadoSolicitudes[[#This Row],[Insumos revisados]]="No",IF(EstadoSolicitudes[[#This Row],[Fecha entrega insumos OR]]&gt;1,"Evolti","Espera de insumos"),
"Evolti")))))</f>
        <v>Espera de insumos</v>
      </c>
      <c r="D530" s="46" t="s">
        <v>1230</v>
      </c>
      <c r="F530" s="152" t="s">
        <v>1423</v>
      </c>
      <c r="G530" s="155" t="s">
        <v>227</v>
      </c>
      <c r="H530" s="155">
        <v>901432582</v>
      </c>
      <c r="I530" s="252" t="s">
        <v>267</v>
      </c>
      <c r="J530" s="48">
        <v>45873</v>
      </c>
      <c r="K530" s="49">
        <v>422</v>
      </c>
      <c r="L530" s="50" t="s">
        <v>1395</v>
      </c>
      <c r="N530" s="75" t="s">
        <v>229</v>
      </c>
      <c r="R530" s="72"/>
      <c r="S530" s="48"/>
      <c r="U530" s="48"/>
      <c r="V530" s="48"/>
    </row>
    <row r="531" spans="1:24" hidden="1" x14ac:dyDescent="0.25">
      <c r="A531" s="152">
        <f t="shared" si="28"/>
        <v>525</v>
      </c>
      <c r="B531" s="46" t="s">
        <v>1422</v>
      </c>
      <c r="C531" s="46" t="str">
        <f>+IF(EstadoSolicitudes[[#This Row],[Aprobado OR]]="Aprobado",EstadoSolicitudes[[#This Row],[Aprobado OR]],
IF(EstadoSolicitudes[[#This Row],[Aprobado OR]]="Cancelado",EstadoSolicitudes[[#This Row],[Aprobado OR]],
IF(EstadoSolicitudes[[#This Row],[Cargue estudio al OR]]&gt;1,"Verificación Técnica",
IF(EstadoSolicitudes[[#This Row],[Fecha solicitud estudio]]&gt;1,"Estudio de conexión",
IF(EstadoSolicitudes[[#This Row],[Insumos revisados]]="No",IF(EstadoSolicitudes[[#This Row],[Fecha entrega insumos OR]]&gt;1,"Evolti","Espera de insumos"),
"Evolti")))))</f>
        <v>Espera de insumos</v>
      </c>
      <c r="D531" s="46" t="s">
        <v>1230</v>
      </c>
      <c r="F531" s="152" t="s">
        <v>1423</v>
      </c>
      <c r="G531" s="155" t="s">
        <v>227</v>
      </c>
      <c r="H531" s="155">
        <v>901432582</v>
      </c>
      <c r="I531" s="252" t="s">
        <v>529</v>
      </c>
      <c r="J531" s="48">
        <v>45873</v>
      </c>
      <c r="K531" s="49">
        <v>423</v>
      </c>
      <c r="L531" s="50" t="s">
        <v>1424</v>
      </c>
      <c r="N531" s="75" t="s">
        <v>229</v>
      </c>
      <c r="R531" s="72"/>
      <c r="S531" s="48"/>
      <c r="U531" s="48"/>
      <c r="V531" s="48"/>
    </row>
    <row r="532" spans="1:24" hidden="1" x14ac:dyDescent="0.25">
      <c r="A532" s="152">
        <f t="shared" si="28"/>
        <v>526</v>
      </c>
      <c r="B532" s="46" t="s">
        <v>1435</v>
      </c>
      <c r="C532" s="46" t="str">
        <f>+IF(EstadoSolicitudes[[#This Row],[Aprobado OR]]="Aprobado",EstadoSolicitudes[[#This Row],[Aprobado OR]],
IF(EstadoSolicitudes[[#This Row],[Aprobado OR]]="Cancelado",EstadoSolicitudes[[#This Row],[Aprobado OR]],
IF(EstadoSolicitudes[[#This Row],[Cargue estudio al OR]]&gt;1,"Verificación Técnica",
IF(EstadoSolicitudes[[#This Row],[Fecha solicitud estudio]]&gt;1,"Estudio de conexión",
IF(EstadoSolicitudes[[#This Row],[Insumos revisados]]="No",IF(EstadoSolicitudes[[#This Row],[Fecha entrega insumos OR]]&gt;1,"Evolti","Espera de insumos"),
"Evolti")))))</f>
        <v>Espera de insumos</v>
      </c>
      <c r="D532" s="46" t="s">
        <v>151</v>
      </c>
      <c r="E532" s="152" t="s">
        <v>1438</v>
      </c>
      <c r="F532" s="152" t="s">
        <v>1439</v>
      </c>
      <c r="G532" s="155" t="s">
        <v>227</v>
      </c>
      <c r="H532" s="155">
        <v>901432582</v>
      </c>
      <c r="I532" s="256" t="s">
        <v>529</v>
      </c>
      <c r="J532" s="48">
        <v>45874</v>
      </c>
      <c r="K532" s="49"/>
      <c r="L532" s="50"/>
      <c r="N532" s="75" t="s">
        <v>229</v>
      </c>
      <c r="R532" s="72"/>
      <c r="S532" s="48"/>
      <c r="U532" s="48"/>
      <c r="V532" s="48"/>
    </row>
    <row r="533" spans="1:24" hidden="1" x14ac:dyDescent="0.25">
      <c r="A533" s="152">
        <f t="shared" si="28"/>
        <v>527</v>
      </c>
      <c r="B533" s="46" t="s">
        <v>1436</v>
      </c>
      <c r="C533" s="46" t="str">
        <f>+IF(EstadoSolicitudes[[#This Row],[Aprobado OR]]="Aprobado",EstadoSolicitudes[[#This Row],[Aprobado OR]],
IF(EstadoSolicitudes[[#This Row],[Aprobado OR]]="Cancelado",EstadoSolicitudes[[#This Row],[Aprobado OR]],
IF(EstadoSolicitudes[[#This Row],[Cargue estudio al OR]]&gt;1,"Verificación Técnica",
IF(EstadoSolicitudes[[#This Row],[Fecha solicitud estudio]]&gt;1,"Estudio de conexión",
IF(EstadoSolicitudes[[#This Row],[Insumos revisados]]="No",IF(EstadoSolicitudes[[#This Row],[Fecha entrega insumos OR]]&gt;1,"Evolti","Espera de insumos"),
"Evolti")))))</f>
        <v>Espera de insumos</v>
      </c>
      <c r="D533" s="46" t="s">
        <v>151</v>
      </c>
      <c r="E533" s="152" t="s">
        <v>1438</v>
      </c>
      <c r="F533" s="152" t="s">
        <v>1439</v>
      </c>
      <c r="G533" s="155" t="s">
        <v>227</v>
      </c>
      <c r="H533" s="155">
        <v>901432582</v>
      </c>
      <c r="I533" s="256" t="s">
        <v>529</v>
      </c>
      <c r="J533" s="48">
        <v>45874</v>
      </c>
      <c r="K533" s="49"/>
      <c r="L533" s="50"/>
      <c r="N533" s="75" t="s">
        <v>229</v>
      </c>
      <c r="R533" s="72"/>
      <c r="S533" s="48"/>
      <c r="U533" s="48"/>
      <c r="V533" s="48"/>
    </row>
    <row r="534" spans="1:24" hidden="1" x14ac:dyDescent="0.25">
      <c r="A534" s="152">
        <f t="shared" si="28"/>
        <v>528</v>
      </c>
      <c r="B534" s="46" t="s">
        <v>1437</v>
      </c>
      <c r="C534" s="46" t="str">
        <f>+IF(EstadoSolicitudes[[#This Row],[Aprobado OR]]="Aprobado",EstadoSolicitudes[[#This Row],[Aprobado OR]],
IF(EstadoSolicitudes[[#This Row],[Aprobado OR]]="Cancelado",EstadoSolicitudes[[#This Row],[Aprobado OR]],
IF(EstadoSolicitudes[[#This Row],[Cargue estudio al OR]]&gt;1,"Verificación Técnica",
IF(EstadoSolicitudes[[#This Row],[Fecha solicitud estudio]]&gt;1,"Estudio de conexión",
IF(EstadoSolicitudes[[#This Row],[Insumos revisados]]="No",IF(EstadoSolicitudes[[#This Row],[Fecha entrega insumos OR]]&gt;1,"Evolti","Espera de insumos"),
"Evolti")))))</f>
        <v>Espera de insumos</v>
      </c>
      <c r="D534" s="46" t="s">
        <v>151</v>
      </c>
      <c r="E534" s="152" t="s">
        <v>1438</v>
      </c>
      <c r="F534" s="152" t="s">
        <v>1439</v>
      </c>
      <c r="G534" s="155" t="s">
        <v>227</v>
      </c>
      <c r="H534" s="155">
        <v>901432582</v>
      </c>
      <c r="I534" s="256" t="s">
        <v>529</v>
      </c>
      <c r="J534" s="48">
        <v>45874</v>
      </c>
      <c r="K534" s="49"/>
      <c r="L534" s="50"/>
      <c r="N534" s="75" t="s">
        <v>229</v>
      </c>
      <c r="R534" s="72"/>
      <c r="S534" s="48"/>
      <c r="U534" s="48"/>
      <c r="V534" s="48"/>
    </row>
    <row r="535" spans="1:24" hidden="1" x14ac:dyDescent="0.25">
      <c r="A535" s="152">
        <f t="shared" si="28"/>
        <v>529</v>
      </c>
      <c r="B535" s="46" t="s">
        <v>1445</v>
      </c>
      <c r="C535" s="46" t="str">
        <f>+IF(EstadoSolicitudes[[#This Row],[Aprobado OR]]="Aprobado",EstadoSolicitudes[[#This Row],[Aprobado OR]],
IF(EstadoSolicitudes[[#This Row],[Aprobado OR]]="Cancelado",EstadoSolicitudes[[#This Row],[Aprobado OR]],
IF(EstadoSolicitudes[[#This Row],[Cargue estudio al OR]]&gt;1,"Verificación Técnica",
IF(EstadoSolicitudes[[#This Row],[Fecha solicitud estudio]]&gt;1,"Estudio de conexión",
IF(EstadoSolicitudes[[#This Row],[Insumos revisados]]="No",IF(EstadoSolicitudes[[#This Row],[Fecha entrega insumos OR]]&gt;1,"Evolti","Espera de insumos"),
"Evolti")))))</f>
        <v>Espera de insumos</v>
      </c>
      <c r="D535" s="46" t="s">
        <v>153</v>
      </c>
      <c r="F535" s="152" t="s">
        <v>1430</v>
      </c>
      <c r="G535" s="155" t="s">
        <v>227</v>
      </c>
      <c r="H535" s="155">
        <v>901432582</v>
      </c>
      <c r="I535" s="252" t="s">
        <v>232</v>
      </c>
      <c r="J535" s="48">
        <v>45875</v>
      </c>
      <c r="K535" s="49">
        <v>4645</v>
      </c>
      <c r="L535" s="50" t="s">
        <v>241</v>
      </c>
      <c r="N535" s="75" t="s">
        <v>229</v>
      </c>
      <c r="R535" s="72"/>
      <c r="S535" s="48"/>
      <c r="U535" s="48"/>
      <c r="V535" s="48"/>
      <c r="X535" s="46"/>
    </row>
    <row r="536" spans="1:24" hidden="1" x14ac:dyDescent="0.25">
      <c r="A536" s="152">
        <f t="shared" si="28"/>
        <v>530</v>
      </c>
      <c r="B536" s="46" t="s">
        <v>1446</v>
      </c>
      <c r="C536" s="46" t="str">
        <f>+IF(EstadoSolicitudes[[#This Row],[Aprobado OR]]="Aprobado",EstadoSolicitudes[[#This Row],[Aprobado OR]],
IF(EstadoSolicitudes[[#This Row],[Aprobado OR]]="Cancelado",EstadoSolicitudes[[#This Row],[Aprobado OR]],
IF(EstadoSolicitudes[[#This Row],[Cargue estudio al OR]]&gt;1,"Verificación Técnica",
IF(EstadoSolicitudes[[#This Row],[Fecha solicitud estudio]]&gt;1,"Estudio de conexión",
IF(EstadoSolicitudes[[#This Row],[Insumos revisados]]="No",IF(EstadoSolicitudes[[#This Row],[Fecha entrega insumos OR]]&gt;1,"Evolti","Espera de insumos"),
"Evolti")))))</f>
        <v>Espera de insumos</v>
      </c>
      <c r="D536" s="46" t="s">
        <v>153</v>
      </c>
      <c r="F536" s="152" t="s">
        <v>1430</v>
      </c>
      <c r="G536" s="155" t="s">
        <v>227</v>
      </c>
      <c r="H536" s="155">
        <v>901432582</v>
      </c>
      <c r="I536" s="252" t="s">
        <v>267</v>
      </c>
      <c r="J536" s="48">
        <v>45875</v>
      </c>
      <c r="K536" s="49">
        <v>4646</v>
      </c>
      <c r="L536" s="50">
        <v>1286176</v>
      </c>
      <c r="N536" s="75" t="s">
        <v>229</v>
      </c>
      <c r="R536" s="72"/>
      <c r="S536" s="48"/>
      <c r="U536" s="48"/>
      <c r="V536" s="48"/>
      <c r="X536" s="46"/>
    </row>
    <row r="537" spans="1:24" hidden="1" x14ac:dyDescent="0.25">
      <c r="A537" s="152">
        <f t="shared" si="28"/>
        <v>531</v>
      </c>
      <c r="B537" s="46" t="s">
        <v>1447</v>
      </c>
      <c r="C537" s="46" t="str">
        <f>+IF(EstadoSolicitudes[[#This Row],[Aprobado OR]]="Aprobado",EstadoSolicitudes[[#This Row],[Aprobado OR]],
IF(EstadoSolicitudes[[#This Row],[Aprobado OR]]="Cancelado",EstadoSolicitudes[[#This Row],[Aprobado OR]],
IF(EstadoSolicitudes[[#This Row],[Cargue estudio al OR]]&gt;1,"Verificación Técnica",
IF(EstadoSolicitudes[[#This Row],[Fecha solicitud estudio]]&gt;1,"Estudio de conexión",
IF(EstadoSolicitudes[[#This Row],[Insumos revisados]]="No",IF(EstadoSolicitudes[[#This Row],[Fecha entrega insumos OR]]&gt;1,"Evolti","Espera de insumos"),
"Evolti")))))</f>
        <v>Espera de insumos</v>
      </c>
      <c r="D537" s="46" t="s">
        <v>153</v>
      </c>
      <c r="F537" s="152" t="s">
        <v>1430</v>
      </c>
      <c r="G537" s="155" t="s">
        <v>227</v>
      </c>
      <c r="H537" s="155">
        <v>901432582</v>
      </c>
      <c r="I537" s="252" t="s">
        <v>529</v>
      </c>
      <c r="J537" s="48">
        <v>45875</v>
      </c>
      <c r="K537" s="49">
        <v>4644</v>
      </c>
      <c r="L537" s="50" t="s">
        <v>545</v>
      </c>
      <c r="N537" s="75" t="s">
        <v>229</v>
      </c>
      <c r="R537" s="72"/>
      <c r="S537" s="48"/>
      <c r="U537" s="48"/>
      <c r="V537" s="48"/>
      <c r="X537" s="46"/>
    </row>
    <row r="538" spans="1:24" hidden="1" x14ac:dyDescent="0.25">
      <c r="A538" s="152">
        <f t="shared" si="28"/>
        <v>532</v>
      </c>
      <c r="B538" s="46" t="s">
        <v>1448</v>
      </c>
      <c r="C538" s="46" t="str">
        <f>+IF(EstadoSolicitudes[[#This Row],[Aprobado OR]]="Aprobado",EstadoSolicitudes[[#This Row],[Aprobado OR]],
IF(EstadoSolicitudes[[#This Row],[Aprobado OR]]="Cancelado",EstadoSolicitudes[[#This Row],[Aprobado OR]],
IF(EstadoSolicitudes[[#This Row],[Cargue estudio al OR]]&gt;1,"Verificación Técnica",
IF(EstadoSolicitudes[[#This Row],[Fecha solicitud estudio]]&gt;1,"Estudio de conexión",
IF(EstadoSolicitudes[[#This Row],[Insumos revisados]]="No",IF(EstadoSolicitudes[[#This Row],[Fecha entrega insumos OR]]&gt;1,"Evolti","Espera de insumos"),
"Evolti")))))</f>
        <v>Espera de insumos</v>
      </c>
      <c r="D538" s="46" t="s">
        <v>153</v>
      </c>
      <c r="F538" s="152" t="s">
        <v>533</v>
      </c>
      <c r="G538" s="155" t="s">
        <v>227</v>
      </c>
      <c r="H538" s="155">
        <v>901432582</v>
      </c>
      <c r="I538" s="252" t="s">
        <v>232</v>
      </c>
      <c r="J538" s="48">
        <v>45875</v>
      </c>
      <c r="K538" s="49">
        <v>4648</v>
      </c>
      <c r="L538" s="50" t="s">
        <v>241</v>
      </c>
      <c r="N538" s="75" t="s">
        <v>229</v>
      </c>
      <c r="R538" s="72"/>
      <c r="S538" s="48"/>
      <c r="U538" s="48"/>
      <c r="V538" s="48"/>
      <c r="X538" s="46"/>
    </row>
    <row r="539" spans="1:24" hidden="1" x14ac:dyDescent="0.25">
      <c r="A539" s="152">
        <f t="shared" si="28"/>
        <v>533</v>
      </c>
      <c r="B539" s="46" t="s">
        <v>1449</v>
      </c>
      <c r="C539" s="46" t="str">
        <f>+IF(EstadoSolicitudes[[#This Row],[Aprobado OR]]="Aprobado",EstadoSolicitudes[[#This Row],[Aprobado OR]],
IF(EstadoSolicitudes[[#This Row],[Aprobado OR]]="Cancelado",EstadoSolicitudes[[#This Row],[Aprobado OR]],
IF(EstadoSolicitudes[[#This Row],[Cargue estudio al OR]]&gt;1,"Verificación Técnica",
IF(EstadoSolicitudes[[#This Row],[Fecha solicitud estudio]]&gt;1,"Estudio de conexión",
IF(EstadoSolicitudes[[#This Row],[Insumos revisados]]="No",IF(EstadoSolicitudes[[#This Row],[Fecha entrega insumos OR]]&gt;1,"Evolti","Espera de insumos"),
"Evolti")))))</f>
        <v>Espera de insumos</v>
      </c>
      <c r="D539" s="46" t="s">
        <v>153</v>
      </c>
      <c r="F539" s="152" t="s">
        <v>1451</v>
      </c>
      <c r="G539" s="155" t="s">
        <v>227</v>
      </c>
      <c r="H539" s="155">
        <v>901432582</v>
      </c>
      <c r="I539" s="252" t="s">
        <v>267</v>
      </c>
      <c r="J539" s="48">
        <v>45875</v>
      </c>
      <c r="K539" s="49">
        <v>4649</v>
      </c>
      <c r="L539" s="50">
        <v>1286176</v>
      </c>
      <c r="N539" s="75" t="s">
        <v>229</v>
      </c>
      <c r="R539" s="72"/>
      <c r="S539" s="48"/>
      <c r="U539" s="48"/>
      <c r="V539" s="48"/>
    </row>
    <row r="540" spans="1:24" hidden="1" x14ac:dyDescent="0.25">
      <c r="A540" s="152">
        <f t="shared" si="28"/>
        <v>534</v>
      </c>
      <c r="B540" s="46" t="s">
        <v>1450</v>
      </c>
      <c r="C540" s="46" t="str">
        <f>+IF(EstadoSolicitudes[[#This Row],[Aprobado OR]]="Aprobado",EstadoSolicitudes[[#This Row],[Aprobado OR]],
IF(EstadoSolicitudes[[#This Row],[Aprobado OR]]="Cancelado",EstadoSolicitudes[[#This Row],[Aprobado OR]],
IF(EstadoSolicitudes[[#This Row],[Cargue estudio al OR]]&gt;1,"Verificación Técnica",
IF(EstadoSolicitudes[[#This Row],[Fecha solicitud estudio]]&gt;1,"Estudio de conexión",
IF(EstadoSolicitudes[[#This Row],[Insumos revisados]]="No",IF(EstadoSolicitudes[[#This Row],[Fecha entrega insumos OR]]&gt;1,"Evolti","Espera de insumos"),
"Evolti")))))</f>
        <v>Espera de insumos</v>
      </c>
      <c r="D540" s="46" t="s">
        <v>153</v>
      </c>
      <c r="F540" s="152" t="s">
        <v>1452</v>
      </c>
      <c r="G540" s="155" t="s">
        <v>227</v>
      </c>
      <c r="H540" s="155">
        <v>901432582</v>
      </c>
      <c r="I540" s="252" t="s">
        <v>529</v>
      </c>
      <c r="J540" s="48">
        <v>45875</v>
      </c>
      <c r="K540" s="49">
        <v>4650</v>
      </c>
      <c r="L540" s="50" t="s">
        <v>545</v>
      </c>
      <c r="N540" s="75" t="s">
        <v>229</v>
      </c>
      <c r="R540" s="72"/>
      <c r="S540" s="48"/>
      <c r="U540" s="48"/>
      <c r="V540" s="48"/>
    </row>
    <row r="541" spans="1:24" hidden="1" x14ac:dyDescent="0.25">
      <c r="A541" s="152">
        <f t="shared" si="28"/>
        <v>535</v>
      </c>
      <c r="C541" s="46" t="str">
        <f>+IF(EstadoSolicitudes[[#This Row],[Aprobado OR]]="Aprobado",EstadoSolicitudes[[#This Row],[Aprobado OR]],
IF(EstadoSolicitudes[[#This Row],[Aprobado OR]]="Cancelado",EstadoSolicitudes[[#This Row],[Aprobado OR]],
IF(EstadoSolicitudes[[#This Row],[Cargue estudio al OR]]&gt;1,"Verificación Técnica",
IF(EstadoSolicitudes[[#This Row],[Fecha solicitud estudio]]&gt;1,"Estudio de conexión",
IF(EstadoSolicitudes[[#This Row],[Insumos revisados]]="No",IF(EstadoSolicitudes[[#This Row],[Fecha entrega insumos OR]]&gt;1,"Evolti","Espera de insumos"),
"Evolti")))))</f>
        <v>Evolti</v>
      </c>
      <c r="I541" s="47"/>
      <c r="J541" s="48"/>
      <c r="K541" s="49"/>
      <c r="L541" s="50"/>
      <c r="R541" s="72"/>
      <c r="S541" s="48"/>
      <c r="U541" s="48"/>
      <c r="V541" s="48"/>
    </row>
    <row r="542" spans="1:24" hidden="1" x14ac:dyDescent="0.25">
      <c r="A542" s="152">
        <f t="shared" si="28"/>
        <v>536</v>
      </c>
      <c r="C542" s="46" t="str">
        <f>+IF(EstadoSolicitudes[[#This Row],[Aprobado OR]]="Aprobado",EstadoSolicitudes[[#This Row],[Aprobado OR]],
IF(EstadoSolicitudes[[#This Row],[Aprobado OR]]="Cancelado",EstadoSolicitudes[[#This Row],[Aprobado OR]],
IF(EstadoSolicitudes[[#This Row],[Cargue estudio al OR]]&gt;1,"Verificación Técnica",
IF(EstadoSolicitudes[[#This Row],[Fecha solicitud estudio]]&gt;1,"Estudio de conexión",
IF(EstadoSolicitudes[[#This Row],[Insumos revisados]]="No",IF(EstadoSolicitudes[[#This Row],[Fecha entrega insumos OR]]&gt;1,"Evolti","Espera de insumos"),
"Evolti")))))</f>
        <v>Evolti</v>
      </c>
      <c r="I542" s="47"/>
      <c r="J542" s="48"/>
      <c r="K542" s="49"/>
      <c r="L542" s="50"/>
      <c r="R542" s="72"/>
      <c r="S542" s="48"/>
      <c r="U542" s="48"/>
      <c r="V542" s="48"/>
    </row>
    <row r="543" spans="1:24" x14ac:dyDescent="0.25">
      <c r="D543" s="152"/>
      <c r="F543" s="46"/>
      <c r="M543" s="75"/>
      <c r="N543" s="48"/>
      <c r="P543" s="46"/>
      <c r="Q543" s="72"/>
      <c r="R543" s="48"/>
      <c r="S543" s="48"/>
      <c r="U543" s="48"/>
      <c r="V543" s="48"/>
    </row>
    <row r="544" spans="1:24" x14ac:dyDescent="0.25">
      <c r="D544" s="152"/>
      <c r="F544" s="46"/>
      <c r="M544" s="75"/>
      <c r="N544" s="48"/>
      <c r="P544" s="46"/>
      <c r="Q544" s="72"/>
      <c r="R544" s="48"/>
      <c r="S544" s="48"/>
      <c r="U544" s="48"/>
      <c r="V544" s="48"/>
    </row>
    <row r="545" spans="4:22" x14ac:dyDescent="0.25">
      <c r="D545" s="152"/>
      <c r="F545" s="46"/>
      <c r="M545" s="75"/>
      <c r="N545" s="48"/>
      <c r="P545" s="46"/>
      <c r="Q545" s="72"/>
      <c r="R545" s="48"/>
      <c r="S545" s="48"/>
      <c r="U545" s="48"/>
      <c r="V545" s="48"/>
    </row>
    <row r="546" spans="4:22" x14ac:dyDescent="0.25">
      <c r="D546" s="152"/>
      <c r="F546" s="46"/>
      <c r="M546" s="75"/>
      <c r="N546" s="48"/>
      <c r="P546" s="46"/>
      <c r="Q546" s="72"/>
      <c r="R546" s="48"/>
      <c r="S546" s="48"/>
      <c r="U546" s="48"/>
      <c r="V546" s="48"/>
    </row>
    <row r="547" spans="4:22" x14ac:dyDescent="0.25">
      <c r="R547" s="72"/>
      <c r="S547" s="48"/>
      <c r="U547" s="48"/>
      <c r="V547" s="48"/>
    </row>
    <row r="548" spans="4:22" x14ac:dyDescent="0.25">
      <c r="R548" s="72"/>
      <c r="S548" s="48"/>
      <c r="U548" s="48"/>
      <c r="V548" s="48"/>
    </row>
    <row r="549" spans="4:22" x14ac:dyDescent="0.25">
      <c r="R549" s="72"/>
      <c r="S549" s="48"/>
      <c r="U549" s="48"/>
      <c r="V549" s="48"/>
    </row>
    <row r="550" spans="4:22" x14ac:dyDescent="0.25">
      <c r="R550" s="72"/>
      <c r="S550" s="48"/>
      <c r="U550" s="48"/>
      <c r="V550" s="48"/>
    </row>
    <row r="551" spans="4:22" x14ac:dyDescent="0.25">
      <c r="R551" s="72"/>
      <c r="S551" s="48"/>
      <c r="U551" s="48"/>
      <c r="V551" s="48"/>
    </row>
    <row r="563" spans="1:12" x14ac:dyDescent="0.25">
      <c r="A563" s="152"/>
      <c r="I563" s="240"/>
      <c r="J563" s="48"/>
      <c r="K563" s="49"/>
      <c r="L563" s="50"/>
    </row>
    <row r="564" spans="1:12" x14ac:dyDescent="0.25">
      <c r="A564" s="152"/>
      <c r="I564" s="240"/>
      <c r="J564" s="48"/>
      <c r="K564" s="49"/>
      <c r="L564" s="50"/>
    </row>
    <row r="565" spans="1:12" x14ac:dyDescent="0.25">
      <c r="A565" s="152"/>
      <c r="I565" s="240"/>
      <c r="J565" s="48"/>
      <c r="K565" s="49"/>
      <c r="L565" s="50"/>
    </row>
    <row r="566" spans="1:12" x14ac:dyDescent="0.25">
      <c r="A566" s="152"/>
      <c r="I566" s="240"/>
      <c r="J566" s="48"/>
      <c r="K566" s="49"/>
      <c r="L566" s="50"/>
    </row>
    <row r="567" spans="1:12" x14ac:dyDescent="0.25">
      <c r="A567" s="152"/>
      <c r="I567" s="240"/>
      <c r="J567" s="48"/>
      <c r="K567" s="49"/>
      <c r="L567" s="50"/>
    </row>
    <row r="568" spans="1:12" x14ac:dyDescent="0.25">
      <c r="A568" s="152"/>
      <c r="I568" s="240"/>
      <c r="J568" s="48"/>
      <c r="K568" s="49"/>
      <c r="L568" s="50"/>
    </row>
    <row r="569" spans="1:12" x14ac:dyDescent="0.25">
      <c r="A569" s="152"/>
      <c r="I569" s="240"/>
      <c r="J569" s="48"/>
      <c r="K569" s="49"/>
      <c r="L569" s="50"/>
    </row>
    <row r="570" spans="1:12" x14ac:dyDescent="0.25">
      <c r="A570" s="152"/>
      <c r="I570" s="240"/>
      <c r="J570" s="48"/>
      <c r="K570" s="49"/>
      <c r="L570" s="50"/>
    </row>
    <row r="571" spans="1:12" x14ac:dyDescent="0.25">
      <c r="A571" s="152"/>
      <c r="I571" s="240"/>
      <c r="J571" s="48"/>
      <c r="K571" s="49"/>
      <c r="L571" s="50"/>
    </row>
    <row r="572" spans="1:12" x14ac:dyDescent="0.25">
      <c r="A572" s="152"/>
      <c r="I572" s="240"/>
      <c r="J572" s="48"/>
      <c r="K572" s="49"/>
      <c r="L572" s="50"/>
    </row>
    <row r="573" spans="1:12" x14ac:dyDescent="0.25">
      <c r="A573" s="152"/>
      <c r="I573" s="240"/>
      <c r="J573" s="48"/>
      <c r="K573" s="49"/>
      <c r="L573" s="50"/>
    </row>
    <row r="574" spans="1:12" x14ac:dyDescent="0.25">
      <c r="A574" s="152"/>
      <c r="I574" s="240"/>
      <c r="J574" s="48"/>
      <c r="K574" s="49"/>
      <c r="L574" s="50"/>
    </row>
    <row r="575" spans="1:12" x14ac:dyDescent="0.25">
      <c r="A575" s="152"/>
      <c r="I575" s="240"/>
      <c r="J575" s="48"/>
      <c r="K575" s="49"/>
      <c r="L575" s="50"/>
    </row>
    <row r="576" spans="1:12" x14ac:dyDescent="0.25">
      <c r="A576" s="152"/>
      <c r="I576" s="240"/>
      <c r="J576" s="48"/>
      <c r="K576" s="49"/>
      <c r="L576" s="50"/>
    </row>
    <row r="577" spans="1:12" x14ac:dyDescent="0.25">
      <c r="A577" s="152"/>
      <c r="I577" s="240"/>
      <c r="J577" s="48"/>
      <c r="K577" s="49"/>
      <c r="L577" s="50"/>
    </row>
    <row r="578" spans="1:12" x14ac:dyDescent="0.25">
      <c r="A578" s="152"/>
      <c r="I578" s="240"/>
      <c r="J578" s="48"/>
      <c r="K578" s="49"/>
      <c r="L578" s="50"/>
    </row>
    <row r="579" spans="1:12" x14ac:dyDescent="0.25">
      <c r="A579" s="152"/>
      <c r="B579"/>
      <c r="E579" s="46"/>
      <c r="F579" s="46"/>
      <c r="I579" s="240"/>
      <c r="J579" s="48"/>
    </row>
  </sheetData>
  <mergeCells count="4">
    <mergeCell ref="U4:W4"/>
    <mergeCell ref="Q4:T4"/>
    <mergeCell ref="M4:O4"/>
    <mergeCell ref="J4:L4"/>
  </mergeCells>
  <phoneticPr fontId="21" type="noConversion"/>
  <dataValidations count="3">
    <dataValidation type="list" allowBlank="1" showInputMessage="1" showErrorMessage="1" sqref="N7:N25" xr:uid="{DA89C234-D94E-47DD-BDAC-C4DCFFCA2F07}">
      <formula1>"Sí, No"</formula1>
    </dataValidation>
    <dataValidation type="list" allowBlank="1" showInputMessage="1" showErrorMessage="1" sqref="V154:V156 U543:U546 V547:V1048576 V197:V542" xr:uid="{7EE4407F-B5B0-4EDC-998C-48AFFF6061B5}">
      <formula1>"Espera, Aprobado, Rechazado"</formula1>
    </dataValidation>
    <dataValidation type="list" allowBlank="1" showInputMessage="1" showErrorMessage="1" sqref="T7:T381" xr:uid="{4EFB124B-0C61-4CAD-AF34-4E951989FA15}">
      <formula1>"Espera, Aprobado, Rechazado, Cancelado"</formula1>
    </dataValidation>
  </dataValidations>
  <hyperlinks>
    <hyperlink ref="I11" r:id="rId1" xr:uid="{211436EB-8504-4CEC-8DD7-98CB5178FD7B}"/>
    <hyperlink ref="I12" r:id="rId2" xr:uid="{1E6BF3D7-95BF-4C69-AEA2-249AB84C4767}"/>
    <hyperlink ref="I7" r:id="rId3" xr:uid="{11516C02-3BE2-435B-8068-359A1B60DE04}"/>
    <hyperlink ref="I8" r:id="rId4" xr:uid="{DBCBABFB-6DFE-4584-AF32-72565A03CC7A}"/>
    <hyperlink ref="I9" r:id="rId5" xr:uid="{7E379A25-AB89-47CD-B0A4-29C85010FADB}"/>
    <hyperlink ref="I10" r:id="rId6" xr:uid="{7D6C4089-7290-4276-B839-AEAD03B73508}"/>
    <hyperlink ref="I15" r:id="rId7" xr:uid="{8AE1B6E3-7905-4DDD-969F-7E5F056E76E2}"/>
    <hyperlink ref="I16" r:id="rId8" xr:uid="{D1F1CAF3-4B06-4A80-A855-F7E564BEAEE3}"/>
    <hyperlink ref="I17" r:id="rId9" xr:uid="{FD3C4C02-EE8B-40C9-8116-00D6818A9E60}"/>
    <hyperlink ref="I18" r:id="rId10" xr:uid="{B225A081-106B-4253-97AF-8F3D5DFB34BD}"/>
    <hyperlink ref="I20" r:id="rId11" xr:uid="{D3162F65-850E-4D01-BF8E-8C6E8FBC785B}"/>
    <hyperlink ref="I21" r:id="rId12" xr:uid="{C50C25FC-C225-4C4D-81A7-12B0BA2548C2}"/>
    <hyperlink ref="I22" r:id="rId13" xr:uid="{28DB38D3-0941-4AD4-B963-8407FEAA5D5A}"/>
    <hyperlink ref="I27" r:id="rId14" xr:uid="{DD95207C-BFAB-47A8-8E97-F76300AED93F}"/>
    <hyperlink ref="I28" r:id="rId15" xr:uid="{61638DA4-96A0-4A2E-8D79-361EE15BF6FD}"/>
    <hyperlink ref="I29" r:id="rId16" xr:uid="{FB2B81F4-E2B2-4719-9E4F-E394744A0825}"/>
    <hyperlink ref="I30" r:id="rId17" xr:uid="{2A94EDB4-E126-44DA-A3FE-BE4A36EA9F24}"/>
    <hyperlink ref="I31" r:id="rId18" xr:uid="{25CFCA13-53EC-419B-A3AE-4F1ADA498389}"/>
    <hyperlink ref="I79" r:id="rId19" xr:uid="{94BCB3AB-DA80-4E83-A313-1182F68BF62D}"/>
    <hyperlink ref="I80" r:id="rId20" xr:uid="{0BCF19BD-A8D2-412C-B5B9-907BEE27F58C}"/>
    <hyperlink ref="I19" r:id="rId21" xr:uid="{31673631-8DB4-4818-9DCA-AE91A90DEE4C}"/>
    <hyperlink ref="I81" r:id="rId22" xr:uid="{6CCD529F-2BBF-40AE-8BD2-59D121C3C1D2}"/>
    <hyperlink ref="I84" r:id="rId23" xr:uid="{CD172B6E-7F8D-4380-84CF-8A84372CB891}"/>
    <hyperlink ref="I98" r:id="rId24" xr:uid="{3273ED74-B781-48CD-90A1-3B0D73B45FC1}"/>
    <hyperlink ref="I113" r:id="rId25" xr:uid="{66C1F3A3-9585-41FE-B96B-E2CE1DA5439A}"/>
    <hyperlink ref="I114" r:id="rId26" xr:uid="{6269E542-8E82-45BE-BC41-F80CB6474B52}"/>
    <hyperlink ref="I115" r:id="rId27" xr:uid="{4F97547B-FEB4-4C04-A99E-B3CE2598520C}"/>
    <hyperlink ref="I135" r:id="rId28" xr:uid="{1E163126-4E0E-4873-9A1F-59FEA88E4BC9}"/>
    <hyperlink ref="I134" r:id="rId29" xr:uid="{72003E17-D74D-4AB4-BDBC-751C8C48F71F}"/>
    <hyperlink ref="I97" r:id="rId30" xr:uid="{9CA31D91-1D28-400F-9276-87395A082347}"/>
    <hyperlink ref="I166" r:id="rId31" xr:uid="{2B4953CD-E44E-45FB-BE5E-3C22DA2E774B}"/>
    <hyperlink ref="I167" r:id="rId32" xr:uid="{8C419113-CAE1-4D0C-8CD9-5D4473D382A1}"/>
    <hyperlink ref="I168" r:id="rId33" xr:uid="{8E7B8790-57BC-40AA-8E10-1FB7ED3111CF}"/>
    <hyperlink ref="I192" r:id="rId34" xr:uid="{05997883-9731-4BD9-B5CA-D2F5D833364D}"/>
    <hyperlink ref="I193" r:id="rId35" xr:uid="{A4B74D7A-6A26-47CB-BEAB-61F8007E58A9}"/>
    <hyperlink ref="I194" r:id="rId36" xr:uid="{73F05E91-AF38-4431-8D80-655ADBD7FD94}"/>
    <hyperlink ref="I195" r:id="rId37" xr:uid="{C1ABCC28-B25F-41C8-BAAF-393027278BAC}"/>
    <hyperlink ref="I201" r:id="rId38" xr:uid="{7636EC7D-6CF6-400B-9123-80CE6999B482}"/>
    <hyperlink ref="I202" r:id="rId39" xr:uid="{5FACDA89-36FE-4814-B745-0619D1573CB7}"/>
    <hyperlink ref="I204" r:id="rId40" xr:uid="{950B470C-1E66-48FE-BE68-9AE278C965C6}"/>
    <hyperlink ref="I205" r:id="rId41" xr:uid="{C9AFEF1F-74F0-46F3-9D28-F885C4C334DD}"/>
    <hyperlink ref="I206" r:id="rId42" xr:uid="{1D22B760-F9A6-4312-B0A7-27DF94C8F797}"/>
    <hyperlink ref="I207" r:id="rId43" xr:uid="{BCDC6064-2630-467E-B1D5-D5DF049E05E6}"/>
    <hyperlink ref="I208" r:id="rId44" xr:uid="{CE85E1DB-24DC-4DE7-8610-2D037A9326DA}"/>
    <hyperlink ref="I209" r:id="rId45" xr:uid="{5019A121-8276-4A7F-B0E8-C9EF61FB3E84}"/>
    <hyperlink ref="I210" r:id="rId46" xr:uid="{0BFB6E59-344D-4A53-9E9A-83A314A3ADB5}"/>
    <hyperlink ref="I211" r:id="rId47" xr:uid="{8457FC6A-1C98-461A-875D-32BC9532D816}"/>
    <hyperlink ref="I203" r:id="rId48" xr:uid="{D942A046-DEF2-4571-AFBC-8545E80FD733}"/>
    <hyperlink ref="I213" r:id="rId49" xr:uid="{DF7E146E-B4EC-4A18-BA35-4FDAD88FBBF3}"/>
    <hyperlink ref="I214" r:id="rId50" xr:uid="{5B06B3C5-130C-4BA6-9A50-EE606EECCE58}"/>
    <hyperlink ref="I216" r:id="rId51" xr:uid="{FDDBCF0D-768C-466B-9D60-681E5F665ADC}"/>
    <hyperlink ref="I217" r:id="rId52" xr:uid="{81DC1B08-E851-4D17-AA24-760F25E70684}"/>
    <hyperlink ref="I219" r:id="rId53" xr:uid="{8F320900-E358-4571-B086-DC929A594B52}"/>
    <hyperlink ref="I220" r:id="rId54" xr:uid="{49BD384D-7BFD-4409-88B9-CDC9B6BD2BC6}"/>
    <hyperlink ref="I218" r:id="rId55" xr:uid="{5CDF9C60-09B3-4964-B990-4F728A43CCAB}"/>
    <hyperlink ref="I200" r:id="rId56" xr:uid="{D97F2D95-2DC3-4E94-8BA2-84C0058BC702}"/>
    <hyperlink ref="I221" r:id="rId57" xr:uid="{27D17D7A-0085-414F-9B27-941B40F1C1AB}"/>
    <hyperlink ref="I222" r:id="rId58" xr:uid="{6554E846-916D-40D2-85F6-314FA7AC5E8D}"/>
    <hyperlink ref="I223" r:id="rId59" xr:uid="{9577D0C5-B575-420D-BB26-4BE97AE210E5}"/>
    <hyperlink ref="I196" r:id="rId60" display="mailto:moises.ruiz@evolti.co" xr:uid="{342838E2-0E11-4F2E-A761-2D9EC51F5D85}"/>
    <hyperlink ref="I231" r:id="rId61" xr:uid="{746C0443-863D-43E5-A7FE-B1CC36CE981B}"/>
    <hyperlink ref="I232" r:id="rId62" xr:uid="{8F3D4301-6224-4AF7-8ACC-96B553A36AF3}"/>
    <hyperlink ref="I258" r:id="rId63" xr:uid="{15F5B240-7F56-4CB6-88AF-F7B8F185D77B}"/>
    <hyperlink ref="I259" r:id="rId64" xr:uid="{974BC361-EBE4-4AB0-9284-D97C8327311F}"/>
    <hyperlink ref="I292" r:id="rId65" xr:uid="{1C8F6796-9D83-4D63-BB62-CC1CB226238B}"/>
    <hyperlink ref="I293" r:id="rId66" xr:uid="{57D6C2C9-A86D-4A29-AF24-98D0D293AA40}"/>
    <hyperlink ref="I295" r:id="rId67" xr:uid="{66D9E0CD-068A-43B9-A472-166E6957841B}"/>
    <hyperlink ref="I296" r:id="rId68" xr:uid="{DA731DAA-78B4-44D6-9CAE-43F50E54AB9A}"/>
    <hyperlink ref="I300" r:id="rId69" xr:uid="{9AA7F204-1F4C-4A67-91A6-B80FB287C902}"/>
    <hyperlink ref="I301" r:id="rId70" xr:uid="{E774C5CE-504B-47D3-B1A2-09F381AB6CC0}"/>
    <hyperlink ref="I302" r:id="rId71" xr:uid="{60B38168-7EB7-4F33-8A5D-59E002C3FBE0}"/>
    <hyperlink ref="I303" r:id="rId72" xr:uid="{93D2C195-F87B-4D33-8E12-AF348690FDF7}"/>
    <hyperlink ref="I304:I305" r:id="rId73" display="fabian.florez@evolti.co" xr:uid="{2D3C1A5D-B2D8-4656-B169-9A90CB587D5A}"/>
    <hyperlink ref="I307" r:id="rId74" xr:uid="{35266C50-8BF0-4CA8-8F97-DA900A10CFF3}"/>
    <hyperlink ref="I308" r:id="rId75" xr:uid="{B4880CCD-8B74-4D83-BDAA-A55696A39BAE}"/>
    <hyperlink ref="I309" r:id="rId76" xr:uid="{E7574B43-8D35-45F7-A492-442B6937C304}"/>
    <hyperlink ref="I310" r:id="rId77" xr:uid="{722DC0BF-18CD-43CE-9635-0C5CC69E95F6}"/>
    <hyperlink ref="I311" r:id="rId78" xr:uid="{8BEC20CD-C320-4EDF-85EB-9F8707D417A0}"/>
    <hyperlink ref="I312" r:id="rId79" xr:uid="{0ED6B529-40DB-4966-A1D1-52C60B20221C}"/>
    <hyperlink ref="I340" r:id="rId80" xr:uid="{B19CD472-67E9-4B86-AE27-E9F868A504B2}"/>
    <hyperlink ref="I341:I342" r:id="rId81" display="daniela.timaran@evolti.co" xr:uid="{C7B705C0-E908-4B58-82BC-BC230352C3DD}"/>
    <hyperlink ref="I347" r:id="rId82" xr:uid="{F4081743-8B0A-4933-B325-95692A948ED1}"/>
    <hyperlink ref="I348" r:id="rId83" xr:uid="{F4EDFA9B-BCB9-4373-AA10-FF7435F63348}"/>
    <hyperlink ref="I354" r:id="rId84" xr:uid="{8FECAAC8-F7E4-48BD-9CBD-0E327E6F742B}"/>
    <hyperlink ref="I353" r:id="rId85" xr:uid="{FB53070F-E098-46A1-9473-5A534C5E07C8}"/>
    <hyperlink ref="I367" r:id="rId86" xr:uid="{2ED5F3E7-E25C-4108-92DD-191D283231FB}"/>
    <hyperlink ref="I368:I369" r:id="rId87" display="daniela.timaran@evolti.co" xr:uid="{068A83C9-7CB8-4C5C-B1BD-57207ECE6D46}"/>
    <hyperlink ref="I350" r:id="rId88" xr:uid="{5BC5DD04-4AF7-463E-9613-06CB15C6D62E}"/>
    <hyperlink ref="I351" r:id="rId89" xr:uid="{70A1B340-8EFE-46DD-BB1C-E8396D3D1F8D}"/>
    <hyperlink ref="I362" r:id="rId90" xr:uid="{16918754-7FF7-48FE-9828-53E147B2EFA3}"/>
    <hyperlink ref="I363" r:id="rId91" xr:uid="{643BD74F-8CEE-4109-955A-3A01CE74437C}"/>
    <hyperlink ref="I371" r:id="rId92" xr:uid="{FD240386-C550-40A5-BEEF-2D956840A2F9}"/>
    <hyperlink ref="I380" r:id="rId93" xr:uid="{DC7F27DA-9D2F-4070-BA80-CECD5A4E2E67}"/>
    <hyperlink ref="I381" r:id="rId94" xr:uid="{69D528FE-357D-4048-A8A3-529A7EF98532}"/>
    <hyperlink ref="I383" r:id="rId95" xr:uid="{B6A1836E-32FF-4DBB-8F9D-FE98C3D8ACA7}"/>
    <hyperlink ref="I384" r:id="rId96" xr:uid="{FB61FA06-9878-43FF-B0AF-E2D89AFFB5FB}"/>
    <hyperlink ref="I389" r:id="rId97" xr:uid="{C612EBD9-6FEE-44C0-B94E-BCAF3E887535}"/>
    <hyperlink ref="I390" r:id="rId98" xr:uid="{0521754D-D6B5-440F-9E8E-823DE6920840}"/>
    <hyperlink ref="I391" r:id="rId99" xr:uid="{E47CA472-DF2E-477A-92EC-A06A3C23594A}"/>
    <hyperlink ref="I392" r:id="rId100" xr:uid="{A38DD8C9-443C-418C-B815-6813194789F7}"/>
    <hyperlink ref="I393" r:id="rId101" xr:uid="{04E7D83B-9556-4C3A-9A28-293B80D195AC}"/>
    <hyperlink ref="I394" r:id="rId102" xr:uid="{8316DCF3-5C58-41EF-9DE5-4A2F12E84318}"/>
    <hyperlink ref="I395" r:id="rId103" xr:uid="{072F96D4-1F65-49B6-B16A-9FE9C6232D6C}"/>
    <hyperlink ref="I396" r:id="rId104" xr:uid="{5AEBCC83-9851-4DE0-88DF-5B6687D26FA0}"/>
    <hyperlink ref="I397" r:id="rId105" xr:uid="{9E1A9BF3-E753-40D7-8743-3D0427A2393B}"/>
    <hyperlink ref="I398" r:id="rId106" xr:uid="{955F0BFA-4658-44DD-8316-5BDED5BD16C6}"/>
    <hyperlink ref="I399" r:id="rId107" xr:uid="{D92FAD3E-871B-4A31-849F-08B1C538E9D3}"/>
    <hyperlink ref="I334" r:id="rId108" xr:uid="{C5660E3B-CB0B-434A-817F-E015BED9A207}"/>
    <hyperlink ref="I352" r:id="rId109" xr:uid="{60DC66CA-361F-490D-9756-3E7DE52653A9}"/>
    <hyperlink ref="I360" r:id="rId110" xr:uid="{B5716B53-6693-4A28-90B4-DBFD0F789BBA}"/>
    <hyperlink ref="I335" r:id="rId111" xr:uid="{650B2BAC-98AC-47FA-A087-C95CD2A3866E}"/>
    <hyperlink ref="I336" r:id="rId112" xr:uid="{E62C74D9-0560-4E01-BE97-67CBB716A618}"/>
    <hyperlink ref="I388" r:id="rId113" xr:uid="{59236C11-2CCC-4A21-95BE-CED4DB36FBE0}"/>
    <hyperlink ref="I400" r:id="rId114" xr:uid="{5A9396B0-3C23-406E-9E3A-20895C5B8C83}"/>
    <hyperlink ref="I401" r:id="rId115" xr:uid="{90ADD800-234A-4DA0-8F56-1932DBFB377A}"/>
    <hyperlink ref="I402" r:id="rId116" xr:uid="{14D55D65-7199-43AE-A3C6-DF7AB9E3FFBB}"/>
    <hyperlink ref="I403" r:id="rId117" display="mailto:julian.gomez@evolti.co" xr:uid="{18B75D12-D9A3-43B5-BEF9-067C1D82F730}"/>
    <hyperlink ref="I428" r:id="rId118" xr:uid="{77929EDA-7879-402F-A53F-692213000F85}"/>
    <hyperlink ref="I429" r:id="rId119" xr:uid="{6C4988D8-9742-4708-980D-4A9F9927065D}"/>
    <hyperlink ref="I431" r:id="rId120" xr:uid="{4FE6C098-718F-424F-8D00-0B684EB294C1}"/>
    <hyperlink ref="I432" r:id="rId121" xr:uid="{13C0C560-9268-4014-A087-2402281FB08F}"/>
    <hyperlink ref="I434" r:id="rId122" xr:uid="{BDCB6416-8A3C-486C-9DBE-BEE1EFB24D92}"/>
    <hyperlink ref="I435" r:id="rId123" xr:uid="{BD8EC9FA-F221-4FF9-AD53-799EC2A845EA}"/>
    <hyperlink ref="I448" r:id="rId124" xr:uid="{0CB0F041-E2A5-4587-B6C6-4879D38BC452}"/>
    <hyperlink ref="I449" r:id="rId125" xr:uid="{841E2DFB-7C3D-462D-B38B-81A28876E071}"/>
    <hyperlink ref="I454" r:id="rId126" xr:uid="{D96F12BE-3830-413F-9F17-9D962DA36A70}"/>
    <hyperlink ref="I455" r:id="rId127" xr:uid="{A2DC9F4E-9F56-47AD-BDFA-29A687827912}"/>
    <hyperlink ref="I457" r:id="rId128" xr:uid="{C34CED30-7612-40C1-B88D-5B02A4622FA7}"/>
    <hyperlink ref="I458" r:id="rId129" xr:uid="{C2017018-2C11-4825-9958-B6515170D46F}"/>
    <hyperlink ref="I460" r:id="rId130" xr:uid="{0CC578DA-102D-44D9-8203-8AF8F9A360C0}"/>
    <hyperlink ref="I461" r:id="rId131" xr:uid="{DC82CC59-52BC-47A6-A36B-9C690B1A801F}"/>
    <hyperlink ref="I463" r:id="rId132" xr:uid="{46F457A5-51C6-48C3-81A1-B4C2CE48676A}"/>
    <hyperlink ref="I464" r:id="rId133" xr:uid="{192B78E6-DBA2-4F55-A50A-DC67BEA3485D}"/>
    <hyperlink ref="I466" r:id="rId134" xr:uid="{8FC056BB-C687-4654-8E46-32543E89BCCF}"/>
    <hyperlink ref="I467" r:id="rId135" xr:uid="{BB8BD49E-CA1C-4119-8CDE-662B1CD18EFA}"/>
    <hyperlink ref="I468" r:id="rId136" xr:uid="{FB728EEF-FE00-49E1-8F4E-F8B0350281C6}"/>
    <hyperlink ref="I469" r:id="rId137" xr:uid="{E1A278CE-EEC6-4D89-B80E-35BCC372B08A}"/>
    <hyperlink ref="I470" r:id="rId138" xr:uid="{C8071DEB-7240-4572-B154-C8EEFFA576D5}"/>
    <hyperlink ref="I471" r:id="rId139" xr:uid="{B284754E-0032-4316-B477-0E826259ACE3}"/>
    <hyperlink ref="I472" r:id="rId140" xr:uid="{ED6D7137-42F0-4DF2-9489-52A6234C7E60}"/>
    <hyperlink ref="I473" r:id="rId141" xr:uid="{8F00FE93-2A4A-4A2C-A403-65132C82E45D}"/>
    <hyperlink ref="I474" r:id="rId142" xr:uid="{9FE0E908-2544-4088-9FF1-00A1BC079921}"/>
    <hyperlink ref="I475" r:id="rId143" xr:uid="{DDF0CDE4-E457-4777-AF72-14AA9917BE48}"/>
    <hyperlink ref="I476" r:id="rId144" xr:uid="{88F0408F-35A9-4413-8904-F9097521CCF8}"/>
    <hyperlink ref="I498" r:id="rId145" xr:uid="{5B5E6D51-761D-4857-A4CF-61587E0A627C}"/>
    <hyperlink ref="I499" r:id="rId146" xr:uid="{83DD9D85-E011-474B-97E1-6A917204582A}"/>
    <hyperlink ref="I500" r:id="rId147" xr:uid="{F2F7D44E-A245-4449-8375-4CD176401F1D}"/>
    <hyperlink ref="I501" r:id="rId148" xr:uid="{A5DC2A0C-4F9B-4D7B-A391-093C758F09DB}"/>
    <hyperlink ref="I502" r:id="rId149" xr:uid="{ECAD9E4D-BBA5-4686-ABFF-E6AB42D8D8E6}"/>
    <hyperlink ref="I503" r:id="rId150" xr:uid="{9819156D-532B-4701-BA03-E4B549D89E09}"/>
    <hyperlink ref="I504" r:id="rId151" xr:uid="{E6891DA2-0E88-4CF1-9066-427D5E7A2FC2}"/>
    <hyperlink ref="I505" r:id="rId152" xr:uid="{C0E52E01-1F51-40EB-9EDF-1FFACB9758B9}"/>
    <hyperlink ref="I506" r:id="rId153" xr:uid="{C00509B0-E737-4F8D-80DA-397D2F94F416}"/>
    <hyperlink ref="I507" r:id="rId154" xr:uid="{1011A36E-74D3-4B46-997C-3B855ED620F3}"/>
    <hyperlink ref="I508" r:id="rId155" xr:uid="{79E1FD9A-C4F1-4AD5-B4BE-E6F1C6E249A3}"/>
    <hyperlink ref="I509" r:id="rId156" xr:uid="{F001CE2C-9F44-4550-B265-04ABCA271BD6}"/>
    <hyperlink ref="I510" r:id="rId157" display="mailto:EstructuracionGD@evolti.co" xr:uid="{461D7EC9-8864-4B27-B541-14D720AB24AE}"/>
    <hyperlink ref="I511" r:id="rId158" xr:uid="{9A6256B1-F5F2-4B85-820F-E68B89181AED}"/>
    <hyperlink ref="I512" r:id="rId159" xr:uid="{30E29E14-22A8-47C5-A14A-0988C6171560}"/>
    <hyperlink ref="I513" r:id="rId160" xr:uid="{9EB62B42-0DDE-47AE-B06E-16C1BA8DCC86}"/>
    <hyperlink ref="I514" r:id="rId161" xr:uid="{89FEDF63-3144-4D68-B015-2A42048BB55C}"/>
    <hyperlink ref="I515" r:id="rId162" xr:uid="{C98B8927-372A-4C44-88B6-DCF58A7FF8D1}"/>
    <hyperlink ref="I516" r:id="rId163" xr:uid="{DC68D310-2643-430D-B860-3C82BCA9D3B0}"/>
    <hyperlink ref="I517" r:id="rId164" xr:uid="{6A12634B-E2C7-475E-B78C-015B39148AE1}"/>
    <hyperlink ref="I518" r:id="rId165" xr:uid="{8790FF23-7C67-4F79-9419-EA7F8BA68CB9}"/>
    <hyperlink ref="I519" r:id="rId166" xr:uid="{7E8EAF08-8137-4214-9A2B-2BC67968D37D}"/>
    <hyperlink ref="I523" r:id="rId167" xr:uid="{3552816F-ACC3-438A-AF8C-D5C3E2B9B76C}"/>
    <hyperlink ref="I524" r:id="rId168" xr:uid="{39044BB9-D016-4112-9646-88559A006A4F}"/>
    <hyperlink ref="I525" r:id="rId169" xr:uid="{32D5F3C8-647C-47FA-9E77-60A7C8650868}"/>
    <hyperlink ref="I526" r:id="rId170" xr:uid="{C541438F-4CB6-4F1C-8517-F2C8E563B45D}"/>
    <hyperlink ref="I527" r:id="rId171" xr:uid="{CB77E75F-AA1B-4E9E-A6F2-778CB55E2220}"/>
    <hyperlink ref="I528" r:id="rId172" xr:uid="{FD3854E9-5743-4412-B73B-D0C2200F814E}"/>
    <hyperlink ref="I532" r:id="rId173" xr:uid="{307624FD-7789-4F6B-B145-5712B49D6231}"/>
    <hyperlink ref="I533" r:id="rId174" xr:uid="{03C90E3B-27D9-453B-A4BF-700035B9A37B}"/>
    <hyperlink ref="I534" r:id="rId175" xr:uid="{9CDDD0A6-A671-41E5-9B7E-948CB923EE0B}"/>
  </hyperlinks>
  <pageMargins left="0.7" right="0.7" top="0.75" bottom="0.75" header="0.3" footer="0.3"/>
  <pageSetup orientation="portrait" r:id="rId176"/>
  <drawing r:id="rId177"/>
  <tableParts count="1">
    <tablePart r:id="rId178"/>
  </tableParts>
  <extLst>
    <ext xmlns:x14="http://schemas.microsoft.com/office/spreadsheetml/2009/9/main" uri="{CCE6A557-97BC-4b89-ADB6-D9C93CAAB3DF}">
      <x14:dataValidations xmlns:xm="http://schemas.microsoft.com/office/excel/2006/main" count="3">
        <x14:dataValidation type="list" allowBlank="1" showInputMessage="1" showErrorMessage="1" xr:uid="{71DA8D45-87B4-43D9-ABF0-CC6B571BB451}">
          <x14:formula1>
            <xm:f>'INFO OPERADORES RED'!$B$7:$B$21</xm:f>
          </x14:formula1>
          <xm:sqref>D71 D75 D79:D89 D113:D117 D125:D126 D95:D110 D138:D141 D151:D153 D163:D169 D67 D179:D181 D257:D259 D266 D273:D281 D288:D315 E270:F272 E303:F315 D442:D444 D355:D357 D361:D363 D331:F333 D340:D342 E367:F369 D367:D384 D346:D350 E352:F360 E373:F378 E388:F390 E297:E299 D447:D452 E254:F256 E282:F290 F294:F299 E397:F399 D553:F1048576 D394:D426 E260:F262 E264:F265</xm:sqref>
        </x14:dataValidation>
        <x14:dataValidation type="list" allowBlank="1" showInputMessage="1" showErrorMessage="1" xr:uid="{51DF074D-8E8F-4B07-9DAC-FA3D34873A45}">
          <x14:formula1>
            <xm:f>'0 RESUMEN'!$B$16:$B$26</xm:f>
          </x14:formula1>
          <xm:sqref>D111:D112 D7:D66</xm:sqref>
        </x14:dataValidation>
        <x14:dataValidation type="list" allowBlank="1" showInputMessage="1" showErrorMessage="1" xr:uid="{54703AD1-F994-4872-9A2A-AB74A4C02C6A}">
          <x14:formula1>
            <xm:f>'INFO OPERADORES RED'!$B$7:$B$25</xm:f>
          </x14:formula1>
          <xm:sqref>D72:D74 D76:D78 D90:D94 D118:D124 D127:D137 D142:D153 D163:D165 D170:D178 D194:D196 D68:D70</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BFF1ADE2381B6B41A99C0BFE5E4FB36C" ma:contentTypeVersion="12" ma:contentTypeDescription="Crear nuevo documento." ma:contentTypeScope="" ma:versionID="d6a323ccca41c4a72144d333ea0e0fac">
  <xsd:schema xmlns:xsd="http://www.w3.org/2001/XMLSchema" xmlns:xs="http://www.w3.org/2001/XMLSchema" xmlns:p="http://schemas.microsoft.com/office/2006/metadata/properties" xmlns:ns2="be863d55-df68-4874-83a7-72a7c164efe2" targetNamespace="http://schemas.microsoft.com/office/2006/metadata/properties" ma:root="true" ma:fieldsID="b27c43478dd9289b6326b68ac3b5fd6b" ns2:_="">
    <xsd:import namespace="be863d55-df68-4874-83a7-72a7c164efe2"/>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2:MediaServiceDateTaken" minOccurs="0"/>
                <xsd:element ref="ns2:MediaServiceGenerationTime" minOccurs="0"/>
                <xsd:element ref="ns2:MediaServiceEventHashCode" minOccurs="0"/>
                <xsd:element ref="ns2:MediaLengthInSeconds" minOccurs="0"/>
                <xsd:element ref="ns2:MediaServiceOCR"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e863d55-df68-4874-83a7-72a7c164efe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Etiquetas de imagen" ma:readOnly="false" ma:fieldId="{5cf76f15-5ced-4ddc-b409-7134ff3c332f}" ma:taxonomyMulti="true" ma:sspId="81dd04d7-a9b7-45e3-b759-581493f69a4d" ma:termSetId="09814cd3-568e-fe90-9814-8d621ff8fb84" ma:anchorId="fba54fb3-c3e1-fe81-a776-ca4b69148c4d" ma:open="true" ma:isKeyword="false">
      <xsd:complexType>
        <xsd:sequence>
          <xsd:element ref="pc:Terms" minOccurs="0" maxOccurs="1"/>
        </xsd:sequence>
      </xsd:complexType>
    </xsd:element>
    <xsd:element name="MediaServiceDateTaken" ma:index="14" nillable="true" ma:displayName="MediaServiceDateTaken" ma:hidden="true" ma:indexed="true" ma:internalName="MediaServiceDateTaken"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Location" ma:index="19" nillable="true" ma:displayName="Location" ma:indexed="true" ma:internalName="MediaServiceLocatio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1 6 " ? > < D a t a M a s h u p   x m l n s = " h t t p : / / s c h e m a s . m i c r o s o f t . c o m / D a t a M a s h u p " > A A A A A B Q D A A B Q S w M E F A A C A A g A 3 W G + W j l T l R 6 k A A A A 9 g A A A B I A H A B D b 2 5 m a W c v U G F j a 2 F n Z S 5 4 b W w g o h g A K K A U A A A A A A A A A A A A A A A A A A A A A A A A A A A A h Y 9 B D o I w F E S v Q r q n h a q J I Z + y Y C v R x M S 4 b e o X G q E Y W i x 3 c + G R v I I Y R d 2 5 n D d v M X O / 3 i A b m j q 4 Y G d 1 a 1 I S 0 4 g E a F R 7 0 K Z M S e + O 4 Z J k A j Z S n W S J w S g b m w z 2 k J L K u X P C m P e e + h l t u 5 L x K I r Z v l h t V Y W N J B 9 Z / 5 d D b a y T R i E R s H u N E Z z G c 0 7 5 Y t w E b I J Q a P M V + N g 9 2 x 8 I e V + 7 v k O B N s z X w K Y I 7 P 1 B P A B Q S w M E F A A C A A g A 3 W G + 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N 1 h v l o o i k e 4 D g A A A B E A A A A T A B w A R m 9 y b X V s Y X M v U 2 V j d G l v b j E u b S C i G A A o o B Q A A A A A A A A A A A A A A A A A A A A A A A A A A A A r T k 0 u y c z P U w i G 0 I b W A F B L A Q I t A B Q A A g A I A N 1 h v l o 5 U 5 U e p A A A A P Y A A A A S A A A A A A A A A A A A A A A A A A A A A A B D b 2 5 m a W c v U G F j a 2 F n Z S 5 4 b W x Q S w E C L Q A U A A I A C A D d Y b 5 a D 8 r p q 6 Q A A A D p A A A A E w A A A A A A A A A A A A A A A A D w A A A A W 0 N v b n R l b n R f V H l w Z X N d L n h t b F B L A Q I t A B Q A A g A I A N 1 h v l o 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A p h W L P E X o + R b y / Z C Y 1 8 Z N E A A A A A A I A A A A A A B B m A A A A A Q A A I A A A A L U V j 5 1 N C L i t x Z p C Y Y v K v U b 6 J t Q W W C s h l z o T f z t m P e 0 F A A A A A A 6 A A A A A A g A A I A A A A F 7 f N 8 7 k I 3 m s S k h i I B G A m L 4 H t 0 0 C l Q y 0 / p b b L 2 I 9 x 5 E 5 U A A A A C z + Q / P 4 O X y u I X O N M b p l N K I e I i G o 8 a g a X t K a X M v b r j j v b B E 0 6 M 4 v f Q L A Y 9 5 / 0 f d B O L s H x B u z + o G X t t K l X U P Q s K 0 q d l b l 0 o y k u r L A Q 3 o 1 s D l z Q A A A A D s Y P X J Z 4 i z Z K S 9 T D Z q w U B j K q I v H t H K i z 6 s T 4 h V g b m Q Y O O b 7 a e O F L W z h n 4 S n 5 n S C r m Y w B J t r p 7 N V H 3 u T m T M 9 + 5 E = < / D a t a M a s h u p > 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lcf76f155ced4ddcb4097134ff3c332f xmlns="be863d55-df68-4874-83a7-72a7c164efe2">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AC253E22-0C38-4171-AC79-36489E6D924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e863d55-df68-4874-83a7-72a7c164efe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BCE66057-6DD2-4F22-8E90-6B7C209AFEB0}">
  <ds:schemaRefs>
    <ds:schemaRef ds:uri="http://schemas.microsoft.com/DataMashup"/>
  </ds:schemaRefs>
</ds:datastoreItem>
</file>

<file path=customXml/itemProps3.xml><?xml version="1.0" encoding="utf-8"?>
<ds:datastoreItem xmlns:ds="http://schemas.openxmlformats.org/officeDocument/2006/customXml" ds:itemID="{62B51C23-9ABE-4010-B93A-DF18F0DD8C06}">
  <ds:schemaRefs>
    <ds:schemaRef ds:uri="http://schemas.microsoft.com/sharepoint/v3/contenttype/forms"/>
  </ds:schemaRefs>
</ds:datastoreItem>
</file>

<file path=customXml/itemProps4.xml><?xml version="1.0" encoding="utf-8"?>
<ds:datastoreItem xmlns:ds="http://schemas.openxmlformats.org/officeDocument/2006/customXml" ds:itemID="{237A5658-50E1-4771-A129-74A2E4751088}">
  <ds:schemaRefs>
    <ds:schemaRef ds:uri="http://purl.org/dc/elements/1.1/"/>
    <ds:schemaRef ds:uri="be863d55-df68-4874-83a7-72a7c164efe2"/>
    <ds:schemaRef ds:uri="http://schemas.microsoft.com/office/infopath/2007/PartnerControls"/>
    <ds:schemaRef ds:uri="http://schemas.microsoft.com/office/2006/metadata/properties"/>
    <ds:schemaRef ds:uri="http://purl.org/dc/dcmitype/"/>
    <ds:schemaRef ds:uri="http://purl.org/dc/terms/"/>
    <ds:schemaRef ds:uri="http://schemas.microsoft.com/office/2006/documentManagement/types"/>
    <ds:schemaRef ds:uri="http://schemas.openxmlformats.org/package/2006/metadata/core-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19</vt:i4>
      </vt:variant>
      <vt:variant>
        <vt:lpstr>Rangos con nombre</vt:lpstr>
      </vt:variant>
      <vt:variant>
        <vt:i4>1</vt:i4>
      </vt:variant>
    </vt:vector>
  </HeadingPairs>
  <TitlesOfParts>
    <vt:vector size="20" baseType="lpstr">
      <vt:lpstr>EPM</vt:lpstr>
      <vt:lpstr>Hoja1</vt:lpstr>
      <vt:lpstr>UPME</vt:lpstr>
      <vt:lpstr>Hoja2</vt:lpstr>
      <vt:lpstr>RETIE</vt:lpstr>
      <vt:lpstr>0 RESUMEN</vt:lpstr>
      <vt:lpstr>Informe Mensual</vt:lpstr>
      <vt:lpstr>Informe Semanal</vt:lpstr>
      <vt:lpstr>ESTADO SOLICITUDES</vt:lpstr>
      <vt:lpstr>Info Evolti</vt:lpstr>
      <vt:lpstr>Solicitud de Insumos </vt:lpstr>
      <vt:lpstr>Envio diseño OR</vt:lpstr>
      <vt:lpstr>Estudio de conexión </vt:lpstr>
      <vt:lpstr>INFO OPERADORES RED</vt:lpstr>
      <vt:lpstr>TIEMPOS</vt:lpstr>
      <vt:lpstr>TIEMPOS (Gantt)</vt:lpstr>
      <vt:lpstr>Estudios de Conexion</vt:lpstr>
      <vt:lpstr>Hoja3</vt:lpstr>
      <vt:lpstr>REDES MT</vt:lpstr>
      <vt:lpstr>'Envio diseño OR'!Área_de_impresión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Juan Fernando</dc:creator>
  <cp:keywords/>
  <dc:description/>
  <cp:lastModifiedBy>Julian Ricardo Gomez Guerrero</cp:lastModifiedBy>
  <cp:revision/>
  <dcterms:created xsi:type="dcterms:W3CDTF">2022-08-17T14:12:05Z</dcterms:created>
  <dcterms:modified xsi:type="dcterms:W3CDTF">2025-08-07T13:24:34Z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0x010100BFF1ADE2381B6B41A99C0BFE5E4FB36C</vt:lpwstr>
  </property>
  <property fmtid="{D5CDD505-2E9C-101B-9397-08002B2CF9AE}" pid="3" name="MediaServiceImageTags">
    <vt:lpwstr/>
  </property>
</Properties>
</file>