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30"/>
  <workbookPr/>
  <mc:AlternateContent xmlns:mc="http://schemas.openxmlformats.org/markup-compatibility/2006">
    <mc:Choice Requires="x15">
      <x15ac:absPath xmlns:x15ac="http://schemas.microsoft.com/office/spreadsheetml/2010/11/ac" url="https://evolticompany.sharepoint.com/sites/EvoltiAdministrativo/Documentos compartidos/Financiero/PROYECTOS/EPC/"/>
    </mc:Choice>
  </mc:AlternateContent>
  <xr:revisionPtr revIDLastSave="0" documentId="8_{15856AE3-1D74-4E20-B472-F26300E83FD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definedNames>
    <definedName name="_xlnm._FilterDatabase" localSheetId="0" hidden="1">Hoja1!$A$1:$AA$27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X3" i="1"/>
  <c r="X26" i="1"/>
  <c r="Y26" i="1" s="1"/>
  <c r="X23" i="1"/>
  <c r="V21" i="1"/>
  <c r="Y21" i="1" s="1"/>
  <c r="V20" i="1"/>
  <c r="Y20" i="1" s="1"/>
  <c r="H24" i="1"/>
  <c r="X2" i="1"/>
  <c r="T11" i="1"/>
  <c r="X11" i="1" s="1"/>
  <c r="Y11" i="1" s="1"/>
  <c r="AE4" i="1"/>
  <c r="V3" i="1"/>
  <c r="X10" i="1"/>
  <c r="V10" i="1"/>
  <c r="X22" i="1"/>
  <c r="Y25" i="1" l="1"/>
  <c r="X6" i="1"/>
  <c r="V14" i="1"/>
  <c r="Y24" i="1" l="1"/>
  <c r="Y23" i="1"/>
  <c r="Y22" i="1"/>
  <c r="X18" i="1"/>
  <c r="Y18" i="1" s="1"/>
  <c r="X17" i="1"/>
  <c r="Y17" i="1" s="1"/>
  <c r="X16" i="1"/>
  <c r="Y16" i="1" s="1"/>
  <c r="X13" i="1"/>
  <c r="Y13" i="1" s="1"/>
  <c r="X12" i="1"/>
  <c r="Y10" i="1"/>
  <c r="X9" i="1"/>
  <c r="Y9" i="1" s="1"/>
  <c r="X8" i="1"/>
  <c r="Y8" i="1" s="1"/>
  <c r="X7" i="1"/>
  <c r="Y7" i="1" s="1"/>
  <c r="X5" i="1"/>
  <c r="Y5" i="1" s="1"/>
  <c r="Y3" i="1"/>
  <c r="Y2" i="1"/>
  <c r="H12" i="1" l="1"/>
  <c r="Y12" i="1" s="1"/>
  <c r="V6" i="1"/>
  <c r="Y6" i="1" s="1"/>
  <c r="V4" i="1"/>
  <c r="Y4" i="1" s="1"/>
  <c r="J19" i="1"/>
  <c r="X19" i="1" s="1"/>
  <c r="Y19" i="1" s="1"/>
  <c r="J15" i="1"/>
  <c r="X15" i="1" s="1"/>
  <c r="Y15" i="1" s="1"/>
  <c r="J14" i="1" l="1"/>
  <c r="X14" i="1" l="1"/>
  <c r="Y14" i="1" s="1"/>
  <c r="Y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H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Adicion al Contrato OTRO SI, REFUERZO METALICO $2,750,000</t>
        </r>
      </text>
    </comment>
  </commentList>
</comments>
</file>

<file path=xl/sharedStrings.xml><?xml version="1.0" encoding="utf-8"?>
<sst xmlns="http://schemas.openxmlformats.org/spreadsheetml/2006/main" count="211" uniqueCount="130">
  <si>
    <t>TIPO DE PROYECTO</t>
  </si>
  <si>
    <t>FECHA FIRMA CONTRATO</t>
  </si>
  <si>
    <t>No CONTRATO</t>
  </si>
  <si>
    <t>PROYECTO</t>
  </si>
  <si>
    <t>NIT</t>
  </si>
  <si>
    <t>ZONA</t>
  </si>
  <si>
    <t xml:space="preserve">FORMA DE PAGO SEGÚN CONTRATO </t>
  </si>
  <si>
    <t>VALOR DE CONTRATO</t>
  </si>
  <si>
    <t xml:space="preserve">FECHA ANTICIPOS </t>
  </si>
  <si>
    <t>VALOR DE ANTCIPO</t>
  </si>
  <si>
    <t>VALOR ANTICIPO</t>
  </si>
  <si>
    <t>IVA</t>
  </si>
  <si>
    <t>RETENCIONES</t>
  </si>
  <si>
    <t>DESCUENTO</t>
  </si>
  <si>
    <t>TOTAL ANTICIPOS RECIBIDO</t>
  </si>
  <si>
    <t xml:space="preserve">SALDO </t>
  </si>
  <si>
    <t>ESTADO</t>
  </si>
  <si>
    <t>OBSEVACION</t>
  </si>
  <si>
    <t>EPC(TECHOS )</t>
  </si>
  <si>
    <t>S-0082</t>
  </si>
  <si>
    <t>CASA ORION. JUAN CAMILO ALVAREZ</t>
  </si>
  <si>
    <t>ANTIOQUIA</t>
  </si>
  <si>
    <t xml:space="preserve">50%A LA FIRMA DE CONTRATO, 40% AL MOMENTO D EINICIAR LA INSTALACION,10% ENTREGA DE PROYECTO A SATISFACCION </t>
  </si>
  <si>
    <t>FACTURADO</t>
  </si>
  <si>
    <t>YA SE HIZO LA ENTREGA PENDIENTE QUE EL CLIENTE HAGA EL PAGO</t>
  </si>
  <si>
    <t>ENI PLENITUD TECHICAL SERVICES COLOMBIA SAS</t>
  </si>
  <si>
    <t>901549600-5</t>
  </si>
  <si>
    <t>CALI</t>
  </si>
  <si>
    <t>HITO 1, HITO 2, HITO 3,HITO 4 HITO 5,HOTO 6, HITO 7</t>
  </si>
  <si>
    <t>FACTURADO  PROYECTO ENTREGADO OK</t>
  </si>
  <si>
    <t>CCUP-353-2024</t>
  </si>
  <si>
    <t>UNICENTRO</t>
  </si>
  <si>
    <t>901432582-7</t>
  </si>
  <si>
    <t>NARIÑO</t>
  </si>
  <si>
    <t xml:space="preserve">50%A LA FIRMA DE CONTRATO, 30% ENTREGA DE PANELES E INVERSORES,20% ENTREGA DE PROYECTO A SATISFACCION </t>
  </si>
  <si>
    <t>OK PAGADO</t>
  </si>
  <si>
    <t>C-0076-2024</t>
  </si>
  <si>
    <t xml:space="preserve">JUGOS NATURALES </t>
  </si>
  <si>
    <t>901623133-3</t>
  </si>
  <si>
    <t xml:space="preserve">50% A LA FIRMA DE CONTRATO, 40% ENTREGA DE INGENIERIA Y CRONOGRAMAS, 10% ENTREGA DE PROYECTO A SATISFACCION </t>
  </si>
  <si>
    <t>C-0075-2024</t>
  </si>
  <si>
    <t>AGRO SAN RAFAEL ( LEASIG OCCIDENTE)</t>
  </si>
  <si>
    <t>901015412-5</t>
  </si>
  <si>
    <t>VALLE</t>
  </si>
  <si>
    <t xml:space="preserve">50% A LA FIRMA DE CONTRATO, 50% ENTREGA DE PROYECTO A SATISFACCION </t>
  </si>
  <si>
    <t>C-0077-2024</t>
  </si>
  <si>
    <t xml:space="preserve">CLINICA MORASURCO </t>
  </si>
  <si>
    <t>901147012-9</t>
  </si>
  <si>
    <t xml:space="preserve">100% A LA FIRMA DEL CONTRATO </t>
  </si>
  <si>
    <t>OK</t>
  </si>
  <si>
    <t>C-0084-2024</t>
  </si>
  <si>
    <t xml:space="preserve">HOSPITAL INFANTIL </t>
  </si>
  <si>
    <t>891200240-2</t>
  </si>
  <si>
    <t xml:space="preserve">40% A LA FIRMA DE CONTRATO,40% ENTREGA DE PANELES E INVERSORES, 20% ENTREGA DE PROYECTO A SATISFACCION </t>
  </si>
  <si>
    <t>SE ENVIO CUENTA DE COBRO 40% A LA ANTREGA DE PANELES E INVERSORES, EXISTE OTRO SI QUE MODIFICA LOS TIEMPOS PENDIENTE ENVIEN EL OTRO SI FIRMADO</t>
  </si>
  <si>
    <t>C-0080-2024</t>
  </si>
  <si>
    <t>DESARROLLO CAMPESINO</t>
  </si>
  <si>
    <t>891224273-9</t>
  </si>
  <si>
    <t>OK PROYECTO ENTREGADO YA SE RECIBIO EL PAGO</t>
  </si>
  <si>
    <t>CASA FRANCISCO GUTIERREZ  ( DISPROPAN)</t>
  </si>
  <si>
    <t>891200701-6</t>
  </si>
  <si>
    <t xml:space="preserve">10% A LA FIRMA DE CONTRATO, 40% ENTREGA DE INGENIERIA Y CRONOGRAMA, 40% ENTREGA DE PANELES E INVERSORES, 10% ENTREGA DE PROYECTO A SATISFACCION </t>
  </si>
  <si>
    <t>FACTURADO JUNIO PROCEDER CON LA ENTREGA FORMAL PARA  HACER EL RESPECTIVO COBRO, SEMANA SIGUIENTE SE HACE ENTREGA, SE DEBE VALIDAR CON EXPERIENCIA EN QUE TRAMITE SE ENCUENTRA</t>
  </si>
  <si>
    <t>C-0079-2024</t>
  </si>
  <si>
    <t>HOTEL ADAMO(ALEX ALBERTO PAZ HURTADO)</t>
  </si>
  <si>
    <t>27/06/2025 - 1/07/2025</t>
  </si>
  <si>
    <t>2/12/2024-20/02/2025</t>
  </si>
  <si>
    <t>EPC-0084</t>
  </si>
  <si>
    <t>CASA GUILLERMO - LILIANA ALPALA</t>
  </si>
  <si>
    <t xml:space="preserve"> FACTURADO JUNIO PENDIENTE ENTREGA FORMAL </t>
  </si>
  <si>
    <t>C-0083-2024</t>
  </si>
  <si>
    <t>COMERCIALIZADORA  NAVA DEL SUR   S.A.S  LEASING BANCO DE BOGOTA</t>
  </si>
  <si>
    <t>900320092-5</t>
  </si>
  <si>
    <t xml:space="preserve">40% A LA FIRMA DE CONTRATO,40 ENTREGA DE PANELES E INVERSORES, 20% ENTREGA DE PROYECTO A SATISFACCION </t>
  </si>
  <si>
    <t>SE CUENTA CON UPME, PERO EL PROYECTO  AUN ESTA EN EJECUCION POSIBLE LEGALIZACION  AGOSTO, BANCO SOLICITO AVANCES Y ESTADO DEL PROYECTO Y SE EMITIO CUENTA DE COBRO DEL 40%, BANCO DE BOGOTA SOLICITA ACTA DE ENTREGA DE PANELES E INVERSORES. CHRISTIAN ROSERO ME ESTA AYUDANDO CON ESO PARA ENVIAR AL BANCO, SE ENVIO ACTA FIRMADA Y ESTAMOS A LA ESPERA QUE EL CLIENTE AUTORICE EL DESEMBOLSO DEL ANTIICPO, LEGALIZACION POSIBLE AGOSTO 2025</t>
  </si>
  <si>
    <t>C-0081-2024</t>
  </si>
  <si>
    <t xml:space="preserve">ESTACION DE SERVICIO ANDALUCIA (LEASING OCCIDENTE) FEDERICO ROJAS  GOMEZ &amp; CIA  SAS </t>
  </si>
  <si>
    <t>891903062-5</t>
  </si>
  <si>
    <t xml:space="preserve">40% A LA FIRMA DEL CONTRATO, 40% ENTREGA DE PANELES E INVERSORES, 20% ENTREGA DE PROYECTO A SATISFACCION </t>
  </si>
  <si>
    <t>19/12/2024</t>
  </si>
  <si>
    <t>EPC-0089</t>
  </si>
  <si>
    <t>APTOS GONZALO JIMENEZ (GONZALO JIMENEZ MAHECHA)</t>
  </si>
  <si>
    <t xml:space="preserve">50% A LA FIRMA DE CONTRATO, 40% AL MOMENTO DE INICIAR INSTALACION, 10% ENTREGA DE PROYECTO A SATISFACCION </t>
  </si>
  <si>
    <t>26/12/2024</t>
  </si>
  <si>
    <t xml:space="preserve">PROYECTO NO HA INICIADO DEBIDO A QUE LA PROPIEDAD ESTA EN  CONSTRUCCION </t>
  </si>
  <si>
    <t>C-0090-2024</t>
  </si>
  <si>
    <t xml:space="preserve">PANIFICADORA LA VILLA (PRODUCTOS LA VILLA SAS) ( LEASIG OCCIDENTE) </t>
  </si>
  <si>
    <t>901215855-2</t>
  </si>
  <si>
    <t xml:space="preserve">50% A LA FIRMA DEL CONTRATO, 50% ENTREGA DE PROYECTO A SATISFACCION </t>
  </si>
  <si>
    <t>C-0091-2024</t>
  </si>
  <si>
    <t>LACTEOS TULUA (JAVIER MORALES CASTRO)  ( LEASIG OCCIDENTE)</t>
  </si>
  <si>
    <t>PROYECTO EN EJECUCION, LEGALIZACION  SEPTIEMBRE</t>
  </si>
  <si>
    <t>EPC-0094</t>
  </si>
  <si>
    <t>SAN NICOLAS (MARIA FERNANDA ROSAS SEGURA)</t>
  </si>
  <si>
    <t>CAUCA</t>
  </si>
  <si>
    <t xml:space="preserve">DIEZ MILLONES A LA FIRMA DE CONTRATO, DOCE MILLONES DESPUES DE 30 DIAS DE FIRMA DE CONTRATO Y DIECICHO MMILONES QUINIENTOS  A ENTREGA DE PROYECTO A SATISFACCION </t>
  </si>
  <si>
    <t>PROYECTO EN EJECUCION  LEGALIZACION AGOSTO</t>
  </si>
  <si>
    <t>C-0093-2024</t>
  </si>
  <si>
    <t xml:space="preserve">B.A.S INGENIERIA S.A </t>
  </si>
  <si>
    <t>821001526-5</t>
  </si>
  <si>
    <t>PROYECTO CASI TERMINADO  LEGALIZACION AGOSTO, BANCO FACTURADO, PENDIENTE ENTREGA PROYECTO NOVEDAD EN EL SISTEMA DE LECTURA MONITOREO PENDIENTE QUE LLEGUE EL EQUIPO PARA DARLE SOLUCION ,  DESEMBOLSO AGOSTO}</t>
  </si>
  <si>
    <t>C-0086-2024</t>
  </si>
  <si>
    <t>INVERSIONES PASTO SAS</t>
  </si>
  <si>
    <t>814003209-9</t>
  </si>
  <si>
    <t xml:space="preserve">50% A LA FIRMA DE CONTRATO, 40% A LA ENTREGA DE PANELES E INVERSORES Y 10% ENTREGA DE POYECTOS A SATISFACCION </t>
  </si>
  <si>
    <t>YA SE INICIO OBRA Y SE ENVIO CUENTA DE COBRO</t>
  </si>
  <si>
    <t>C-0098-2025</t>
  </si>
  <si>
    <t>YA SE INICIO OBRA Y PAGARON PRIMER ANTICIPO</t>
  </si>
  <si>
    <t>C-0097-2025</t>
  </si>
  <si>
    <t xml:space="preserve">CEMENTO CAUCA SAS </t>
  </si>
  <si>
    <t>900796431-1</t>
  </si>
  <si>
    <t xml:space="preserve">60% A LA FIRMA DE CONTRATO, 30% A LA ENTREGA DE PANELES E INVERSORES Y 10% ENTREGA DE POYECTOS A SATISFACCION </t>
  </si>
  <si>
    <t>PROYECTO EN EJECUCION, LEGALIZACION  PENDIENTE UPME, POSIBLE TERMINACION PRO</t>
  </si>
  <si>
    <t>C-0101-2025</t>
  </si>
  <si>
    <t>DISTRIBUIDORA SURTISUR DE NARIÑO SAS</t>
  </si>
  <si>
    <t>901580492-6</t>
  </si>
  <si>
    <t>EL BANCO YA GIRO EL PRIMER ANTICIPO</t>
  </si>
  <si>
    <t>C-0105-2025 +OTROS SI</t>
  </si>
  <si>
    <t>CLUB CAMPESTRE PALMIRA LEASING BANCO DE OCCIDENTE</t>
  </si>
  <si>
    <t>891301432-3</t>
  </si>
  <si>
    <t xml:space="preserve">40% A LA FIRMA DE CONTRATO, 20% ENTREGA DE INGENIERIA , 30% A LA ENTREGA DE PANELES E INVERSORES, 10% ENTREGA DE PROYECTO A SATISFACCION </t>
  </si>
  <si>
    <t>SE ENVIO FACTURA PROFORMA AL BANCO Y DOCUEMNETOS ANEXOS</t>
  </si>
  <si>
    <t>C-0106-2025</t>
  </si>
  <si>
    <t>CENTRO EMPRESARIAL VALLE DE ATRIZ PROPIEDAD HORIZONTAL- LEASING BANCO DE BOGOTA</t>
  </si>
  <si>
    <t>814002843-4</t>
  </si>
  <si>
    <t>5-OBR-2025-0033</t>
  </si>
  <si>
    <t>HOSPITAL SAN RAFAEL DE PASTO</t>
  </si>
  <si>
    <t>30% A LA FIRMA DE CONTRATO, 70% AL RECIBO DE LA OBRA TERMINADA</t>
  </si>
  <si>
    <t>EL CLIENTE  CANCELO EL 30%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</si>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</sst>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theme="3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2">
    <xf numFmtId="0" fontId="0" fillId="0" borderId="0" xfId="0"/>
    <xf numFmtId="164" fontId="0" fillId="0" borderId="0" xfId="1" applyNumberFormat="1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4" fillId="0" borderId="0" xfId="0" applyNumberFormat="1" applyFont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43" fontId="3" fillId="2" borderId="1" xfId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1" xfId="1" applyNumberFormat="1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4" fillId="0" borderId="0" xfId="0" applyFont="1"/>
    <xf numFmtId="43" fontId="4" fillId="0" borderId="0" xfId="1" applyFont="1" applyAlignment="1">
      <alignment horizontal="center"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2" fillId="0" borderId="2" xfId="0" applyFont="1" applyBorder="1"/>
    <xf numFmtId="164" fontId="2" fillId="0" borderId="2" xfId="1" applyNumberFormat="1" applyFont="1" applyBorder="1"/>
    <xf numFmtId="43" fontId="2" fillId="0" borderId="1" xfId="1" applyFont="1" applyFill="1" applyBorder="1"/>
    <xf numFmtId="164" fontId="0" fillId="0" borderId="1" xfId="1" applyNumberFormat="1" applyFont="1" applyFill="1" applyBorder="1"/>
    <xf numFmtId="14" fontId="0" fillId="0" borderId="1" xfId="0" applyNumberFormat="1" applyBorder="1"/>
    <xf numFmtId="43" fontId="0" fillId="0" borderId="0" xfId="0" applyNumberFormat="1"/>
    <xf numFmtId="164" fontId="3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3" fontId="2" fillId="2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43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43" fontId="4" fillId="0" borderId="1" xfId="0" applyNumberFormat="1" applyFont="1" applyBorder="1" applyAlignment="1">
      <alignment vertical="center"/>
    </xf>
    <xf numFmtId="43" fontId="4" fillId="0" borderId="1" xfId="1" applyFont="1" applyFill="1" applyBorder="1" applyAlignment="1">
      <alignment vertical="center" wrapText="1"/>
    </xf>
    <xf numFmtId="43" fontId="4" fillId="0" borderId="1" xfId="1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14" fontId="4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43" fontId="3" fillId="3" borderId="1" xfId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43" fontId="0" fillId="0" borderId="0" xfId="1" applyFont="1"/>
    <xf numFmtId="0" fontId="0" fillId="4" borderId="1" xfId="0" applyFill="1" applyBorder="1" applyAlignment="1">
      <alignment horizontal="center" vertical="center" wrapText="1"/>
    </xf>
    <xf numFmtId="43" fontId="0" fillId="0" borderId="0" xfId="0" applyNumberFormat="1" applyAlignment="1">
      <alignment horizontal="center" vertical="center"/>
    </xf>
    <xf numFmtId="0" fontId="7" fillId="0" borderId="0" xfId="0" applyFont="1"/>
    <xf numFmtId="164" fontId="4" fillId="2" borderId="1" xfId="1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5" xfId="0" applyFont="1" applyBorder="1"/>
    <xf numFmtId="164" fontId="2" fillId="0" borderId="5" xfId="1" applyNumberFormat="1" applyFont="1" applyBorder="1"/>
    <xf numFmtId="43" fontId="2" fillId="0" borderId="6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43" fontId="1" fillId="2" borderId="1" xfId="1" applyFont="1" applyFill="1" applyBorder="1"/>
    <xf numFmtId="43" fontId="2" fillId="2" borderId="1" xfId="0" applyNumberFormat="1" applyFont="1" applyFill="1" applyBorder="1"/>
    <xf numFmtId="0" fontId="0" fillId="3" borderId="1" xfId="0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43" fontId="2" fillId="3" borderId="1" xfId="1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vertical="center"/>
    </xf>
    <xf numFmtId="43" fontId="2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right" vertical="top"/>
    </xf>
    <xf numFmtId="0" fontId="7" fillId="0" borderId="3" xfId="0" applyFont="1" applyBorder="1" applyAlignment="1">
      <alignment horizontal="left" vertical="top"/>
    </xf>
    <xf numFmtId="0" fontId="2" fillId="2" borderId="1" xfId="0" applyFont="1" applyFill="1" applyBorder="1"/>
    <xf numFmtId="0" fontId="0" fillId="2" borderId="1" xfId="0" applyFill="1" applyBorder="1"/>
    <xf numFmtId="14" fontId="2" fillId="2" borderId="1" xfId="0" applyNumberFormat="1" applyFont="1" applyFill="1" applyBorder="1"/>
    <xf numFmtId="43" fontId="2" fillId="2" borderId="1" xfId="1" applyFont="1" applyFill="1" applyBorder="1"/>
    <xf numFmtId="164" fontId="3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/>
    <xf numFmtId="43" fontId="1" fillId="5" borderId="1" xfId="1" applyFont="1" applyFill="1" applyBorder="1"/>
    <xf numFmtId="14" fontId="4" fillId="5" borderId="1" xfId="0" applyNumberFormat="1" applyFont="1" applyFill="1" applyBorder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vertical="center"/>
    </xf>
    <xf numFmtId="0" fontId="0" fillId="5" borderId="1" xfId="0" applyFill="1" applyBorder="1"/>
    <xf numFmtId="164" fontId="0" fillId="5" borderId="1" xfId="1" applyNumberFormat="1" applyFont="1" applyFill="1" applyBorder="1"/>
    <xf numFmtId="14" fontId="0" fillId="5" borderId="1" xfId="0" applyNumberFormat="1" applyFill="1" applyBorder="1"/>
    <xf numFmtId="0" fontId="2" fillId="5" borderId="2" xfId="0" applyFont="1" applyFill="1" applyBorder="1"/>
    <xf numFmtId="0" fontId="0" fillId="5" borderId="0" xfId="0" applyFill="1"/>
    <xf numFmtId="43" fontId="0" fillId="5" borderId="0" xfId="1" applyFont="1" applyFill="1" applyAlignment="1">
      <alignment horizontal="center" vertical="center"/>
    </xf>
    <xf numFmtId="14" fontId="0" fillId="5" borderId="1" xfId="0" applyNumberFormat="1" applyFill="1" applyBorder="1" applyAlignment="1">
      <alignment vertical="center"/>
    </xf>
    <xf numFmtId="14" fontId="1" fillId="0" borderId="1" xfId="0" applyNumberFormat="1" applyFont="1" applyBorder="1"/>
    <xf numFmtId="43" fontId="1" fillId="0" borderId="1" xfId="1" applyFont="1" applyFill="1" applyBorder="1"/>
    <xf numFmtId="14" fontId="4" fillId="0" borderId="1" xfId="0" applyNumberFormat="1" applyFont="1" applyBorder="1" applyAlignment="1">
      <alignment horizontal="center" vertical="center"/>
    </xf>
    <xf numFmtId="164" fontId="2" fillId="0" borderId="2" xfId="1" applyNumberFormat="1" applyFont="1" applyFill="1" applyBorder="1"/>
    <xf numFmtId="164" fontId="0" fillId="0" borderId="0" xfId="1" applyNumberFormat="1" applyFont="1" applyFill="1"/>
    <xf numFmtId="43" fontId="0" fillId="5" borderId="1" xfId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99"/>
      <color rgb="FFFFCC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7"/>
  <sheetViews>
    <sheetView tabSelected="1" topLeftCell="D1" zoomScale="70" zoomScaleNormal="70" workbookViewId="0">
      <pane ySplit="1" topLeftCell="N2" activePane="bottomLeft" state="frozen"/>
      <selection pane="bottomLeft" activeCell="X5" sqref="X5"/>
    </sheetView>
  </sheetViews>
  <sheetFormatPr defaultColWidth="11.42578125" defaultRowHeight="14.45"/>
  <cols>
    <col min="1" max="1" width="16" style="28" customWidth="1"/>
    <col min="2" max="2" width="19" style="28" customWidth="1"/>
    <col min="3" max="3" width="21" style="28" bestFit="1" customWidth="1"/>
    <col min="4" max="4" width="47" customWidth="1"/>
    <col min="5" max="5" width="11.85546875" customWidth="1"/>
    <col min="6" max="6" width="16.140625" style="28" customWidth="1"/>
    <col min="7" max="7" width="42.140625" customWidth="1"/>
    <col min="8" max="8" width="23.140625" bestFit="1" customWidth="1"/>
    <col min="9" max="9" width="12.42578125" style="123" customWidth="1"/>
    <col min="10" max="10" width="23.85546875" style="123" customWidth="1"/>
    <col min="11" max="11" width="12.42578125" customWidth="1"/>
    <col min="12" max="12" width="20.85546875" style="130" customWidth="1"/>
    <col min="13" max="13" width="12.42578125" style="1" customWidth="1"/>
    <col min="14" max="14" width="20.85546875" style="1" customWidth="1"/>
    <col min="15" max="15" width="15" style="1" customWidth="1"/>
    <col min="16" max="21" width="14.140625" style="1" customWidth="1"/>
    <col min="22" max="23" width="15.42578125" style="1" customWidth="1"/>
    <col min="24" max="24" width="21.85546875" style="1" customWidth="1"/>
    <col min="25" max="25" width="23.28515625" style="57" bestFit="1" customWidth="1"/>
    <col min="26" max="26" width="18.85546875" customWidth="1"/>
    <col min="27" max="27" width="45.140625" customWidth="1"/>
    <col min="28" max="28" width="19.7109375" customWidth="1"/>
    <col min="29" max="29" width="19.140625" customWidth="1"/>
    <col min="31" max="31" width="15.28515625" bestFit="1" customWidth="1"/>
  </cols>
  <sheetData>
    <row r="1" spans="1:33" s="60" customFormat="1" ht="49.5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111" t="s">
        <v>8</v>
      </c>
      <c r="J1" s="111" t="s">
        <v>9</v>
      </c>
      <c r="K1" s="58" t="s">
        <v>8</v>
      </c>
      <c r="L1" s="58" t="s">
        <v>10</v>
      </c>
      <c r="M1" s="58" t="s">
        <v>8</v>
      </c>
      <c r="N1" s="58" t="s">
        <v>10</v>
      </c>
      <c r="O1" s="58" t="s">
        <v>8</v>
      </c>
      <c r="P1" s="58" t="s">
        <v>10</v>
      </c>
      <c r="Q1" s="58" t="s">
        <v>8</v>
      </c>
      <c r="R1" s="58" t="s">
        <v>10</v>
      </c>
      <c r="S1" s="58" t="s">
        <v>8</v>
      </c>
      <c r="T1" s="58" t="s">
        <v>10</v>
      </c>
      <c r="U1" s="58" t="s">
        <v>11</v>
      </c>
      <c r="V1" s="58" t="s">
        <v>12</v>
      </c>
      <c r="W1" s="58" t="s">
        <v>13</v>
      </c>
      <c r="X1" s="58" t="s">
        <v>14</v>
      </c>
      <c r="Y1" s="58" t="s">
        <v>15</v>
      </c>
      <c r="Z1" s="58" t="s">
        <v>16</v>
      </c>
      <c r="AA1" s="59" t="s">
        <v>17</v>
      </c>
    </row>
    <row r="2" spans="1:33" ht="43.5">
      <c r="A2" s="88" t="s">
        <v>18</v>
      </c>
      <c r="B2" s="89">
        <v>44994</v>
      </c>
      <c r="C2" s="88" t="s">
        <v>19</v>
      </c>
      <c r="D2" s="90" t="s">
        <v>20</v>
      </c>
      <c r="E2" s="91">
        <v>71774632</v>
      </c>
      <c r="F2" s="91" t="s">
        <v>21</v>
      </c>
      <c r="G2" s="9" t="s">
        <v>22</v>
      </c>
      <c r="H2" s="92">
        <v>36000000</v>
      </c>
      <c r="I2" s="112">
        <v>45370</v>
      </c>
      <c r="J2" s="113">
        <v>18000000</v>
      </c>
      <c r="K2" s="126">
        <v>45449</v>
      </c>
      <c r="L2" s="127">
        <v>14400000</v>
      </c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93">
        <f>+J2+L2+3600000</f>
        <v>36000000</v>
      </c>
      <c r="Y2" s="54">
        <f>+H2-X2</f>
        <v>0</v>
      </c>
      <c r="Z2" s="100" t="s">
        <v>23</v>
      </c>
      <c r="AA2" s="61" t="s">
        <v>24</v>
      </c>
      <c r="AB2" s="51"/>
      <c r="AC2" s="101"/>
      <c r="AD2" s="102"/>
    </row>
    <row r="3" spans="1:33" ht="29.1">
      <c r="A3" s="88" t="s">
        <v>18</v>
      </c>
      <c r="B3" s="89">
        <v>45272</v>
      </c>
      <c r="C3" s="88">
        <v>22</v>
      </c>
      <c r="D3" s="90" t="s">
        <v>25</v>
      </c>
      <c r="E3" s="104" t="s">
        <v>26</v>
      </c>
      <c r="F3" s="91" t="s">
        <v>27</v>
      </c>
      <c r="G3" s="9" t="s">
        <v>28</v>
      </c>
      <c r="H3" s="92">
        <v>393822000</v>
      </c>
      <c r="I3" s="112">
        <v>45421</v>
      </c>
      <c r="J3" s="113">
        <v>177219900</v>
      </c>
      <c r="K3" s="126">
        <v>45534</v>
      </c>
      <c r="L3" s="127">
        <v>137837700</v>
      </c>
      <c r="M3" s="105"/>
      <c r="N3" s="103"/>
      <c r="O3" s="105"/>
      <c r="P3" s="103"/>
      <c r="Q3" s="105">
        <v>45649</v>
      </c>
      <c r="R3" s="106">
        <v>61535578</v>
      </c>
      <c r="S3" s="106"/>
      <c r="T3" s="106"/>
      <c r="U3" s="106">
        <v>6925602.79</v>
      </c>
      <c r="V3" s="106">
        <f>5889455.7+4639729.24+4009559.51</f>
        <v>14538744.450000001</v>
      </c>
      <c r="W3" s="106">
        <v>5800000</v>
      </c>
      <c r="X3" s="93">
        <f>+J3+L3+R3+3815680.34</f>
        <v>380408858.33999997</v>
      </c>
      <c r="Y3" s="54">
        <f>+H3-X3-V3+U3-W3</f>
        <v>2.514570951461792E-8</v>
      </c>
      <c r="Z3" s="100" t="s">
        <v>23</v>
      </c>
      <c r="AA3" s="61" t="s">
        <v>29</v>
      </c>
      <c r="AB3" s="51"/>
      <c r="AC3" s="81"/>
      <c r="AE3" s="51"/>
    </row>
    <row r="4" spans="1:33" s="5" customFormat="1" ht="84.95" customHeight="1">
      <c r="A4" s="25" t="s">
        <v>18</v>
      </c>
      <c r="B4" s="32">
        <v>45551</v>
      </c>
      <c r="C4" s="25" t="s">
        <v>30</v>
      </c>
      <c r="D4" s="14" t="s">
        <v>31</v>
      </c>
      <c r="E4" s="14" t="s">
        <v>32</v>
      </c>
      <c r="F4" s="26" t="s">
        <v>33</v>
      </c>
      <c r="G4" s="9" t="s">
        <v>34</v>
      </c>
      <c r="H4" s="11">
        <v>1272184759</v>
      </c>
      <c r="I4" s="114">
        <v>45566</v>
      </c>
      <c r="J4" s="115">
        <v>636092380</v>
      </c>
      <c r="K4" s="128">
        <v>45974</v>
      </c>
      <c r="L4" s="21">
        <v>381655428</v>
      </c>
      <c r="M4" s="13">
        <v>0</v>
      </c>
      <c r="N4" s="13">
        <v>0</v>
      </c>
      <c r="O4" s="13"/>
      <c r="P4" s="13"/>
      <c r="Q4" s="13"/>
      <c r="R4" s="13">
        <v>214999223</v>
      </c>
      <c r="S4" s="13"/>
      <c r="T4" s="13"/>
      <c r="U4" s="13"/>
      <c r="V4" s="13">
        <f>31804618.98+7633108.55</f>
        <v>39437727.530000001</v>
      </c>
      <c r="W4" s="13"/>
      <c r="X4" s="13">
        <f>+J4+L4+R4</f>
        <v>1232747031</v>
      </c>
      <c r="Y4" s="54">
        <f>+H4-X4-0.47-V4</f>
        <v>0</v>
      </c>
      <c r="Z4" s="52" t="s">
        <v>23</v>
      </c>
      <c r="AA4" s="62" t="s">
        <v>35</v>
      </c>
      <c r="AB4" s="6"/>
      <c r="AC4" s="51"/>
      <c r="AE4" s="6">
        <f>+AE3-AB3</f>
        <v>0</v>
      </c>
    </row>
    <row r="5" spans="1:33" s="42" customFormat="1" ht="82.5" customHeight="1">
      <c r="A5" s="25" t="s">
        <v>18</v>
      </c>
      <c r="B5" s="32">
        <v>45572</v>
      </c>
      <c r="C5" s="25" t="s">
        <v>36</v>
      </c>
      <c r="D5" s="9" t="s">
        <v>37</v>
      </c>
      <c r="E5" s="9" t="s">
        <v>38</v>
      </c>
      <c r="F5" s="25" t="s">
        <v>33</v>
      </c>
      <c r="G5" s="10" t="s">
        <v>39</v>
      </c>
      <c r="H5" s="11">
        <v>62097313</v>
      </c>
      <c r="I5" s="114">
        <v>45584</v>
      </c>
      <c r="J5" s="115">
        <v>25000000</v>
      </c>
      <c r="K5" s="128">
        <v>45692</v>
      </c>
      <c r="L5" s="21">
        <v>6048657</v>
      </c>
      <c r="M5" s="12">
        <v>0</v>
      </c>
      <c r="N5" s="13">
        <v>5000000</v>
      </c>
      <c r="O5" s="12">
        <v>45747</v>
      </c>
      <c r="P5" s="13">
        <v>15000000</v>
      </c>
      <c r="Q5" s="12">
        <v>45754</v>
      </c>
      <c r="R5" s="13">
        <v>11050000</v>
      </c>
      <c r="S5" s="13"/>
      <c r="T5" s="13"/>
      <c r="U5" s="13"/>
      <c r="V5" s="13"/>
      <c r="W5" s="13"/>
      <c r="X5" s="13">
        <f>+J5+L5+N5+P5+R5</f>
        <v>62098657</v>
      </c>
      <c r="Y5" s="54">
        <f>+H5-X5+1344-V5</f>
        <v>0</v>
      </c>
      <c r="Z5" s="52" t="s">
        <v>23</v>
      </c>
      <c r="AA5" s="63" t="s">
        <v>35</v>
      </c>
    </row>
    <row r="6" spans="1:33" s="42" customFormat="1" ht="56.1" customHeight="1">
      <c r="A6" s="25" t="s">
        <v>18</v>
      </c>
      <c r="B6" s="32">
        <v>45575</v>
      </c>
      <c r="C6" s="25" t="s">
        <v>40</v>
      </c>
      <c r="D6" s="14" t="s">
        <v>41</v>
      </c>
      <c r="E6" s="14" t="s">
        <v>42</v>
      </c>
      <c r="F6" s="26" t="s">
        <v>43</v>
      </c>
      <c r="G6" s="9" t="s">
        <v>44</v>
      </c>
      <c r="H6" s="11">
        <v>100783942</v>
      </c>
      <c r="I6" s="114">
        <v>45635</v>
      </c>
      <c r="J6" s="115">
        <v>50391971</v>
      </c>
      <c r="K6" s="128">
        <v>45799</v>
      </c>
      <c r="L6" s="21">
        <v>47267668</v>
      </c>
      <c r="M6" s="13">
        <v>0</v>
      </c>
      <c r="N6" s="13">
        <v>0</v>
      </c>
      <c r="O6" s="13"/>
      <c r="P6" s="13"/>
      <c r="Q6" s="13"/>
      <c r="R6" s="13"/>
      <c r="S6" s="13"/>
      <c r="T6" s="13"/>
      <c r="U6" s="13"/>
      <c r="V6" s="13">
        <f>604703.65+2519598.55</f>
        <v>3124302.1999999997</v>
      </c>
      <c r="W6" s="13"/>
      <c r="X6" s="13">
        <f>+J6+L6+0.8</f>
        <v>97659639.799999997</v>
      </c>
      <c r="Y6" s="54">
        <f>+H6-X6-V6</f>
        <v>0</v>
      </c>
      <c r="Z6" s="52" t="s">
        <v>23</v>
      </c>
      <c r="AA6" s="64" t="s">
        <v>35</v>
      </c>
    </row>
    <row r="7" spans="1:33" s="5" customFormat="1" ht="48.6" customHeight="1">
      <c r="A7" s="25" t="s">
        <v>18</v>
      </c>
      <c r="B7" s="32">
        <v>45573</v>
      </c>
      <c r="C7" s="25" t="s">
        <v>45</v>
      </c>
      <c r="D7" s="14" t="s">
        <v>46</v>
      </c>
      <c r="E7" s="14" t="s">
        <v>47</v>
      </c>
      <c r="F7" s="26" t="s">
        <v>33</v>
      </c>
      <c r="G7" s="9" t="s">
        <v>48</v>
      </c>
      <c r="H7" s="11">
        <v>81223400</v>
      </c>
      <c r="I7" s="114">
        <v>45582</v>
      </c>
      <c r="J7" s="115">
        <v>78705475</v>
      </c>
      <c r="K7" s="128"/>
      <c r="L7" s="21">
        <v>0</v>
      </c>
      <c r="M7" s="13">
        <v>0</v>
      </c>
      <c r="N7" s="13">
        <v>0</v>
      </c>
      <c r="O7" s="13"/>
      <c r="P7" s="13"/>
      <c r="Q7" s="13"/>
      <c r="R7" s="13"/>
      <c r="S7" s="13"/>
      <c r="T7" s="13"/>
      <c r="U7" s="13"/>
      <c r="V7" s="13">
        <v>2517925</v>
      </c>
      <c r="W7" s="13"/>
      <c r="X7" s="13">
        <f>J7</f>
        <v>78705475</v>
      </c>
      <c r="Y7" s="54">
        <f>+H7-X7-V7</f>
        <v>0</v>
      </c>
      <c r="Z7" s="52" t="s">
        <v>23</v>
      </c>
      <c r="AA7" s="65" t="s">
        <v>49</v>
      </c>
    </row>
    <row r="8" spans="1:33" s="5" customFormat="1" ht="87.6" customHeight="1">
      <c r="A8" s="29" t="s">
        <v>18</v>
      </c>
      <c r="B8" s="31">
        <v>45642</v>
      </c>
      <c r="C8" s="29" t="s">
        <v>50</v>
      </c>
      <c r="D8" s="19" t="s">
        <v>51</v>
      </c>
      <c r="E8" s="19" t="s">
        <v>52</v>
      </c>
      <c r="F8" s="24" t="s">
        <v>33</v>
      </c>
      <c r="G8" s="18" t="s">
        <v>53</v>
      </c>
      <c r="H8" s="20">
        <v>620027595</v>
      </c>
      <c r="I8" s="114">
        <v>45707</v>
      </c>
      <c r="J8" s="115">
        <v>248011038</v>
      </c>
      <c r="K8" s="128"/>
      <c r="L8" s="21"/>
      <c r="M8" s="21">
        <v>0</v>
      </c>
      <c r="N8" s="21">
        <v>0</v>
      </c>
      <c r="O8" s="21"/>
      <c r="P8" s="21"/>
      <c r="Q8" s="21"/>
      <c r="R8" s="21"/>
      <c r="S8" s="21"/>
      <c r="T8" s="21"/>
      <c r="U8" s="21"/>
      <c r="V8" s="21"/>
      <c r="W8" s="21"/>
      <c r="X8" s="21">
        <f>+J8</f>
        <v>248011038</v>
      </c>
      <c r="Y8" s="55">
        <f>+H8-X8-V8</f>
        <v>372016557</v>
      </c>
      <c r="Z8" s="52"/>
      <c r="AA8" s="66" t="s">
        <v>54</v>
      </c>
      <c r="AC8" s="81"/>
      <c r="AE8" s="6"/>
    </row>
    <row r="9" spans="1:33" s="5" customFormat="1" ht="94.5" customHeight="1">
      <c r="A9" s="25" t="s">
        <v>18</v>
      </c>
      <c r="B9" s="32">
        <v>45597</v>
      </c>
      <c r="C9" s="25" t="s">
        <v>55</v>
      </c>
      <c r="D9" s="14" t="s">
        <v>56</v>
      </c>
      <c r="E9" s="14" t="s">
        <v>57</v>
      </c>
      <c r="F9" s="26" t="s">
        <v>33</v>
      </c>
      <c r="G9" s="9" t="s">
        <v>39</v>
      </c>
      <c r="H9" s="11">
        <v>26902449</v>
      </c>
      <c r="I9" s="114">
        <v>45608</v>
      </c>
      <c r="J9" s="115">
        <v>13451225</v>
      </c>
      <c r="K9" s="128">
        <v>45698</v>
      </c>
      <c r="L9" s="21">
        <v>7640295</v>
      </c>
      <c r="M9" s="13"/>
      <c r="N9" s="13">
        <v>0</v>
      </c>
      <c r="O9" s="13"/>
      <c r="P9" s="13"/>
      <c r="Q9" s="13">
        <v>45761</v>
      </c>
      <c r="R9" s="13">
        <v>2690245</v>
      </c>
      <c r="S9" s="13"/>
      <c r="T9" s="13"/>
      <c r="U9" s="13"/>
      <c r="V9" s="13">
        <v>3120684.0840000003</v>
      </c>
      <c r="W9" s="13"/>
      <c r="X9" s="13">
        <f>J9+L9+R9</f>
        <v>23781765</v>
      </c>
      <c r="Y9" s="54">
        <f>+H9-X9-V9+0.08</f>
        <v>-4.0000002644956095E-3</v>
      </c>
      <c r="Z9" s="52" t="s">
        <v>23</v>
      </c>
      <c r="AA9" s="67" t="s">
        <v>58</v>
      </c>
      <c r="AC9" s="22"/>
      <c r="AE9" s="22"/>
      <c r="AG9" s="22"/>
    </row>
    <row r="10" spans="1:33" s="5" customFormat="1" ht="105.95" customHeight="1">
      <c r="A10" s="70" t="s">
        <v>18</v>
      </c>
      <c r="B10" s="71">
        <v>45569</v>
      </c>
      <c r="C10" s="70" t="s">
        <v>40</v>
      </c>
      <c r="D10" s="72" t="s">
        <v>59</v>
      </c>
      <c r="E10" s="72" t="s">
        <v>60</v>
      </c>
      <c r="F10" s="73" t="s">
        <v>33</v>
      </c>
      <c r="G10" s="74" t="s">
        <v>61</v>
      </c>
      <c r="H10" s="75">
        <v>73268018</v>
      </c>
      <c r="I10" s="114">
        <v>45587</v>
      </c>
      <c r="J10" s="115">
        <v>7326802</v>
      </c>
      <c r="K10" s="128">
        <v>45650</v>
      </c>
      <c r="L10" s="21">
        <v>20000000</v>
      </c>
      <c r="M10" s="76">
        <v>45716</v>
      </c>
      <c r="N10" s="77">
        <v>20000000</v>
      </c>
      <c r="O10" s="76">
        <v>45727</v>
      </c>
      <c r="P10" s="77">
        <v>15000000</v>
      </c>
      <c r="Q10" s="77"/>
      <c r="R10" s="77"/>
      <c r="S10" s="77"/>
      <c r="T10" s="77"/>
      <c r="U10" s="77"/>
      <c r="V10" s="77">
        <f>1831700.48+439608.11</f>
        <v>2271308.59</v>
      </c>
      <c r="W10" s="77"/>
      <c r="X10" s="77">
        <f>+J10+L10+N10+P10-0.59</f>
        <v>62326801.409999996</v>
      </c>
      <c r="Y10" s="56">
        <f t="shared" ref="Y10:Y19" si="0">+H10-X10-V10</f>
        <v>8669908.0000000037</v>
      </c>
      <c r="Z10" s="52" t="s">
        <v>23</v>
      </c>
      <c r="AA10" s="64" t="s">
        <v>62</v>
      </c>
      <c r="AC10" s="81"/>
      <c r="AE10" s="6"/>
    </row>
    <row r="11" spans="1:33" s="5" customFormat="1" ht="84" customHeight="1">
      <c r="A11" s="25" t="s">
        <v>18</v>
      </c>
      <c r="B11" s="32">
        <v>45615</v>
      </c>
      <c r="C11" s="25" t="s">
        <v>63</v>
      </c>
      <c r="D11" s="14" t="s">
        <v>64</v>
      </c>
      <c r="E11" s="14">
        <v>5269803</v>
      </c>
      <c r="F11" s="26" t="s">
        <v>33</v>
      </c>
      <c r="G11" s="9" t="s">
        <v>39</v>
      </c>
      <c r="H11" s="11">
        <v>65541486</v>
      </c>
      <c r="I11" s="114">
        <v>45618</v>
      </c>
      <c r="J11" s="115">
        <v>25000000</v>
      </c>
      <c r="K11" s="128">
        <v>45631</v>
      </c>
      <c r="L11" s="21">
        <v>1216595</v>
      </c>
      <c r="M11" s="12">
        <v>45687</v>
      </c>
      <c r="N11" s="13">
        <v>5000000</v>
      </c>
      <c r="O11" s="12">
        <v>45706</v>
      </c>
      <c r="P11" s="13">
        <v>15000000</v>
      </c>
      <c r="Q11" s="12">
        <v>45716</v>
      </c>
      <c r="R11" s="13">
        <v>6000000</v>
      </c>
      <c r="S11" s="82" t="s">
        <v>65</v>
      </c>
      <c r="T11" s="13">
        <f>12100000+1224891</f>
        <v>13324891</v>
      </c>
      <c r="U11" s="13"/>
      <c r="V11" s="13"/>
      <c r="W11" s="13"/>
      <c r="X11" s="13">
        <f>+J11+L11+N11+P11+R11+T11+0.08</f>
        <v>65541486.079999998</v>
      </c>
      <c r="Y11" s="54">
        <f>+H11-X11-V11+0.08</f>
        <v>1.7881393449270533E-9</v>
      </c>
      <c r="Z11" s="52" t="s">
        <v>23</v>
      </c>
      <c r="AA11" s="107" t="s">
        <v>58</v>
      </c>
    </row>
    <row r="12" spans="1:33" s="5" customFormat="1" ht="77.45" customHeight="1">
      <c r="A12" s="70" t="s">
        <v>18</v>
      </c>
      <c r="B12" s="71" t="s">
        <v>66</v>
      </c>
      <c r="C12" s="70" t="s">
        <v>67</v>
      </c>
      <c r="D12" s="72" t="s">
        <v>68</v>
      </c>
      <c r="E12" s="72">
        <v>37082297</v>
      </c>
      <c r="F12" s="73" t="s">
        <v>33</v>
      </c>
      <c r="G12" s="74" t="s">
        <v>39</v>
      </c>
      <c r="H12" s="75">
        <f>57526407+2750000</f>
        <v>60276407</v>
      </c>
      <c r="I12" s="114">
        <v>45628</v>
      </c>
      <c r="J12" s="115">
        <v>28763204</v>
      </c>
      <c r="K12" s="128">
        <v>45653</v>
      </c>
      <c r="L12" s="21">
        <v>23510563</v>
      </c>
      <c r="M12" s="77"/>
      <c r="N12" s="77"/>
      <c r="O12" s="77"/>
      <c r="P12" s="77"/>
      <c r="Q12" s="77"/>
      <c r="R12" s="77"/>
      <c r="S12" s="77"/>
      <c r="T12" s="77"/>
      <c r="U12" s="77">
        <v>522500</v>
      </c>
      <c r="V12" s="77"/>
      <c r="W12" s="77"/>
      <c r="X12" s="77">
        <f>+J12+L12</f>
        <v>52273767</v>
      </c>
      <c r="Y12" s="56">
        <f>+H12-X12-V12+U12</f>
        <v>8525140</v>
      </c>
      <c r="Z12" s="52" t="s">
        <v>23</v>
      </c>
      <c r="AA12" s="65" t="s">
        <v>69</v>
      </c>
      <c r="AC12" s="6"/>
    </row>
    <row r="13" spans="1:33" s="5" customFormat="1" ht="113.1" customHeight="1">
      <c r="A13" s="29" t="s">
        <v>18</v>
      </c>
      <c r="B13" s="31">
        <v>45639</v>
      </c>
      <c r="C13" s="29" t="s">
        <v>70</v>
      </c>
      <c r="D13" s="18" t="s">
        <v>71</v>
      </c>
      <c r="E13" s="19" t="s">
        <v>72</v>
      </c>
      <c r="F13" s="24" t="s">
        <v>33</v>
      </c>
      <c r="G13" s="18" t="s">
        <v>73</v>
      </c>
      <c r="H13" s="20">
        <v>239832910</v>
      </c>
      <c r="I13" s="114">
        <v>45747</v>
      </c>
      <c r="J13" s="115">
        <v>95933163</v>
      </c>
      <c r="K13" s="128"/>
      <c r="L13" s="21">
        <v>0</v>
      </c>
      <c r="M13" s="21">
        <v>0</v>
      </c>
      <c r="N13" s="21">
        <v>0</v>
      </c>
      <c r="O13" s="21"/>
      <c r="P13" s="21"/>
      <c r="Q13" s="21"/>
      <c r="R13" s="21"/>
      <c r="S13" s="21"/>
      <c r="T13" s="21"/>
      <c r="U13" s="21"/>
      <c r="V13" s="21"/>
      <c r="W13" s="21"/>
      <c r="X13" s="21">
        <f>+J13</f>
        <v>95933163</v>
      </c>
      <c r="Y13" s="55">
        <f t="shared" si="0"/>
        <v>143899747</v>
      </c>
      <c r="Z13" s="52"/>
      <c r="AA13" s="64" t="s">
        <v>74</v>
      </c>
      <c r="AB13" s="43"/>
      <c r="AC13" s="6"/>
    </row>
    <row r="14" spans="1:33" s="17" customFormat="1" ht="47.1" customHeight="1">
      <c r="A14" s="34" t="s">
        <v>18</v>
      </c>
      <c r="B14" s="35">
        <v>45602</v>
      </c>
      <c r="C14" s="34" t="s">
        <v>75</v>
      </c>
      <c r="D14" s="38" t="s">
        <v>76</v>
      </c>
      <c r="E14" s="36" t="s">
        <v>77</v>
      </c>
      <c r="F14" s="37" t="s">
        <v>43</v>
      </c>
      <c r="G14" s="38" t="s">
        <v>78</v>
      </c>
      <c r="H14" s="39">
        <v>279034822</v>
      </c>
      <c r="I14" s="116" t="s">
        <v>79</v>
      </c>
      <c r="J14" s="124">
        <f>+H14*40%</f>
        <v>111613928.80000001</v>
      </c>
      <c r="K14" s="15">
        <v>45835</v>
      </c>
      <c r="L14" s="16">
        <v>158770813</v>
      </c>
      <c r="M14" s="40"/>
      <c r="N14" s="41"/>
      <c r="O14" s="41"/>
      <c r="P14" s="41"/>
      <c r="Q14" s="41"/>
      <c r="R14" s="41"/>
      <c r="S14" s="41"/>
      <c r="T14" s="41"/>
      <c r="U14" s="41"/>
      <c r="V14" s="41">
        <f>6975870.55+1674209</f>
        <v>8650079.5500000007</v>
      </c>
      <c r="W14" s="41"/>
      <c r="X14" s="41">
        <f>+J14+L14+0.65</f>
        <v>270384742.44999999</v>
      </c>
      <c r="Y14" s="54">
        <f t="shared" si="0"/>
        <v>0</v>
      </c>
      <c r="Z14" s="53" t="s">
        <v>23</v>
      </c>
      <c r="AA14" s="68" t="s">
        <v>58</v>
      </c>
      <c r="AC14" s="80"/>
    </row>
    <row r="15" spans="1:33" s="17" customFormat="1" ht="85.5" customHeight="1">
      <c r="A15" s="30" t="s">
        <v>18</v>
      </c>
      <c r="B15" s="33">
        <v>45649</v>
      </c>
      <c r="C15" s="30" t="s">
        <v>80</v>
      </c>
      <c r="D15" s="2" t="s">
        <v>81</v>
      </c>
      <c r="E15" s="3">
        <v>12957938</v>
      </c>
      <c r="F15" s="27" t="s">
        <v>33</v>
      </c>
      <c r="G15" s="2" t="s">
        <v>82</v>
      </c>
      <c r="H15" s="4">
        <v>77736480</v>
      </c>
      <c r="I15" s="116">
        <v>45652</v>
      </c>
      <c r="J15" s="117">
        <f>+H15*50%</f>
        <v>38868240</v>
      </c>
      <c r="K15" s="15" t="s">
        <v>83</v>
      </c>
      <c r="L15" s="16">
        <v>0</v>
      </c>
      <c r="M15" s="16">
        <v>0</v>
      </c>
      <c r="N15" s="16">
        <v>0</v>
      </c>
      <c r="O15" s="16"/>
      <c r="P15" s="16"/>
      <c r="Q15" s="16"/>
      <c r="R15" s="16"/>
      <c r="S15" s="16"/>
      <c r="T15" s="16"/>
      <c r="U15" s="16"/>
      <c r="V15" s="16"/>
      <c r="W15" s="16"/>
      <c r="X15" s="16">
        <f>+J15</f>
        <v>38868240</v>
      </c>
      <c r="Y15" s="55">
        <f t="shared" si="0"/>
        <v>38868240</v>
      </c>
      <c r="Z15" s="53"/>
      <c r="AA15" s="68" t="s">
        <v>84</v>
      </c>
    </row>
    <row r="16" spans="1:33" s="17" customFormat="1" ht="63.95" customHeight="1">
      <c r="A16" s="34" t="s">
        <v>18</v>
      </c>
      <c r="B16" s="35">
        <v>45652</v>
      </c>
      <c r="C16" s="34" t="s">
        <v>85</v>
      </c>
      <c r="D16" s="38" t="s">
        <v>86</v>
      </c>
      <c r="E16" s="36" t="s">
        <v>87</v>
      </c>
      <c r="F16" s="37" t="s">
        <v>33</v>
      </c>
      <c r="G16" s="38" t="s">
        <v>88</v>
      </c>
      <c r="H16" s="39">
        <v>62633204</v>
      </c>
      <c r="I16" s="116">
        <v>45653</v>
      </c>
      <c r="J16" s="117">
        <v>12526641</v>
      </c>
      <c r="K16" s="15">
        <v>45679</v>
      </c>
      <c r="L16" s="16">
        <v>18789961</v>
      </c>
      <c r="M16" s="40">
        <v>45777</v>
      </c>
      <c r="N16" s="41">
        <v>29374973</v>
      </c>
      <c r="O16" s="41"/>
      <c r="P16" s="41"/>
      <c r="Q16" s="41"/>
      <c r="R16" s="41"/>
      <c r="S16" s="41"/>
      <c r="T16" s="41"/>
      <c r="U16" s="41"/>
      <c r="V16" s="41">
        <v>1941629</v>
      </c>
      <c r="W16" s="41"/>
      <c r="X16" s="41">
        <f>+J16+L16+N16</f>
        <v>60691575</v>
      </c>
      <c r="Y16" s="54">
        <f t="shared" si="0"/>
        <v>0</v>
      </c>
      <c r="Z16" s="53" t="s">
        <v>23</v>
      </c>
      <c r="AA16" s="68" t="s">
        <v>58</v>
      </c>
    </row>
    <row r="17" spans="1:27" s="17" customFormat="1" ht="55.5" customHeight="1">
      <c r="A17" s="30" t="s">
        <v>18</v>
      </c>
      <c r="B17" s="33">
        <v>45643</v>
      </c>
      <c r="C17" s="30" t="s">
        <v>89</v>
      </c>
      <c r="D17" s="2" t="s">
        <v>90</v>
      </c>
      <c r="E17" s="3">
        <v>16359436</v>
      </c>
      <c r="F17" s="27" t="s">
        <v>43</v>
      </c>
      <c r="G17" s="2" t="s">
        <v>88</v>
      </c>
      <c r="H17" s="4">
        <v>252823862</v>
      </c>
      <c r="I17" s="116">
        <v>45728</v>
      </c>
      <c r="J17" s="117">
        <v>126411931</v>
      </c>
      <c r="K17" s="15"/>
      <c r="L17" s="16">
        <v>0</v>
      </c>
      <c r="M17" s="16">
        <v>0</v>
      </c>
      <c r="N17" s="16">
        <v>0</v>
      </c>
      <c r="O17" s="16"/>
      <c r="P17" s="16"/>
      <c r="Q17" s="16"/>
      <c r="R17" s="16"/>
      <c r="S17" s="16"/>
      <c r="T17" s="16"/>
      <c r="U17" s="16"/>
      <c r="V17" s="16"/>
      <c r="W17" s="16"/>
      <c r="X17" s="16">
        <f>+J17</f>
        <v>126411931</v>
      </c>
      <c r="Y17" s="55">
        <f t="shared" si="0"/>
        <v>126411931</v>
      </c>
      <c r="Z17" s="53"/>
      <c r="AA17" s="69" t="s">
        <v>91</v>
      </c>
    </row>
    <row r="18" spans="1:27" ht="109.5" customHeight="1">
      <c r="A18" s="30" t="s">
        <v>18</v>
      </c>
      <c r="B18" s="33">
        <v>45326</v>
      </c>
      <c r="C18" s="30" t="s">
        <v>92</v>
      </c>
      <c r="D18" s="2" t="s">
        <v>93</v>
      </c>
      <c r="E18" s="3">
        <v>1144055891</v>
      </c>
      <c r="F18" s="27" t="s">
        <v>94</v>
      </c>
      <c r="G18" s="2" t="s">
        <v>95</v>
      </c>
      <c r="H18" s="4">
        <v>28500000</v>
      </c>
      <c r="I18" s="125">
        <v>45691</v>
      </c>
      <c r="J18" s="118">
        <v>5000000</v>
      </c>
      <c r="K18" s="15">
        <v>45692</v>
      </c>
      <c r="L18" s="23">
        <v>5000000</v>
      </c>
      <c r="M18" s="15">
        <v>45714</v>
      </c>
      <c r="N18" s="23">
        <v>12000000</v>
      </c>
      <c r="O18" s="23"/>
      <c r="P18" s="23"/>
      <c r="Q18" s="23"/>
      <c r="R18" s="23"/>
      <c r="S18" s="23"/>
      <c r="T18" s="23"/>
      <c r="U18" s="23"/>
      <c r="V18" s="23"/>
      <c r="W18" s="23"/>
      <c r="X18" s="23">
        <f>+J18+L18+N18</f>
        <v>22000000</v>
      </c>
      <c r="Y18" s="55">
        <f t="shared" si="0"/>
        <v>6500000</v>
      </c>
      <c r="Z18" s="53"/>
      <c r="AA18" s="7" t="s">
        <v>96</v>
      </c>
    </row>
    <row r="19" spans="1:27" ht="72.599999999999994">
      <c r="A19" s="94" t="s">
        <v>18</v>
      </c>
      <c r="B19" s="95">
        <v>45688</v>
      </c>
      <c r="C19" s="94" t="s">
        <v>97</v>
      </c>
      <c r="D19" s="96" t="s">
        <v>98</v>
      </c>
      <c r="E19" s="109" t="s">
        <v>99</v>
      </c>
      <c r="F19" s="97" t="s">
        <v>43</v>
      </c>
      <c r="G19" s="96" t="s">
        <v>88</v>
      </c>
      <c r="H19" s="98">
        <v>212400000</v>
      </c>
      <c r="I19" s="125">
        <v>45771</v>
      </c>
      <c r="J19" s="118">
        <f>+H19/2</f>
        <v>106200000</v>
      </c>
      <c r="K19" s="15"/>
      <c r="L19" s="23"/>
      <c r="M19" s="110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>
        <f>+J19</f>
        <v>106200000</v>
      </c>
      <c r="Y19" s="56">
        <f t="shared" si="0"/>
        <v>106200000</v>
      </c>
      <c r="Z19" s="53" t="s">
        <v>23</v>
      </c>
      <c r="AA19" s="108" t="s">
        <v>100</v>
      </c>
    </row>
    <row r="20" spans="1:27" ht="59.45" customHeight="1">
      <c r="A20" s="30" t="s">
        <v>18</v>
      </c>
      <c r="B20" s="33">
        <v>45743</v>
      </c>
      <c r="C20" s="30" t="s">
        <v>101</v>
      </c>
      <c r="D20" s="79" t="s">
        <v>102</v>
      </c>
      <c r="E20" s="3" t="s">
        <v>103</v>
      </c>
      <c r="F20" s="27" t="s">
        <v>33</v>
      </c>
      <c r="G20" s="2" t="s">
        <v>104</v>
      </c>
      <c r="H20" s="48">
        <v>149513940</v>
      </c>
      <c r="I20" s="121"/>
      <c r="J20" s="119"/>
      <c r="K20" s="7"/>
      <c r="L20" s="49"/>
      <c r="M20" s="50"/>
      <c r="N20" s="49"/>
      <c r="O20" s="49"/>
      <c r="P20" s="49"/>
      <c r="Q20" s="49"/>
      <c r="R20" s="49"/>
      <c r="S20" s="49"/>
      <c r="T20" s="49"/>
      <c r="U20" s="49"/>
      <c r="V20" s="49">
        <f>(H20*2.5/100)+897083</f>
        <v>4634931.5</v>
      </c>
      <c r="W20" s="49"/>
      <c r="X20" s="49"/>
      <c r="Y20" s="53">
        <f>H20-J20-L20-N20-P20-R20-V20</f>
        <v>144879008.5</v>
      </c>
      <c r="Z20" s="7"/>
      <c r="AA20" s="7" t="s">
        <v>105</v>
      </c>
    </row>
    <row r="21" spans="1:27" ht="81" customHeight="1">
      <c r="A21" s="30" t="s">
        <v>18</v>
      </c>
      <c r="B21" s="33">
        <v>45743</v>
      </c>
      <c r="C21" s="30" t="s">
        <v>106</v>
      </c>
      <c r="D21" s="2" t="s">
        <v>102</v>
      </c>
      <c r="E21" s="3" t="s">
        <v>103</v>
      </c>
      <c r="F21" s="27" t="s">
        <v>33</v>
      </c>
      <c r="G21" s="2" t="s">
        <v>104</v>
      </c>
      <c r="H21" s="4">
        <v>50550000</v>
      </c>
      <c r="I21" s="121">
        <v>45868</v>
      </c>
      <c r="J21" s="131">
        <v>25275000</v>
      </c>
      <c r="K21" s="7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>
        <f>(H21*2.5/100)+303314.62</f>
        <v>1567064.62</v>
      </c>
      <c r="W21" s="49"/>
      <c r="X21" s="49"/>
      <c r="Y21" s="53">
        <f>H21-J21-L21-N21-P21-R21-V21</f>
        <v>23707935.379999999</v>
      </c>
      <c r="Z21" s="7"/>
      <c r="AA21" s="7" t="s">
        <v>107</v>
      </c>
    </row>
    <row r="22" spans="1:27" ht="43.5">
      <c r="A22" s="30" t="s">
        <v>18</v>
      </c>
      <c r="B22" s="33">
        <v>45763</v>
      </c>
      <c r="C22" s="30" t="s">
        <v>108</v>
      </c>
      <c r="D22" s="2" t="s">
        <v>109</v>
      </c>
      <c r="E22" s="3" t="s">
        <v>110</v>
      </c>
      <c r="F22" s="27" t="s">
        <v>94</v>
      </c>
      <c r="G22" s="2" t="s">
        <v>111</v>
      </c>
      <c r="H22" s="4">
        <v>65000000</v>
      </c>
      <c r="I22" s="121">
        <v>45772</v>
      </c>
      <c r="J22" s="120">
        <v>39000000</v>
      </c>
      <c r="K22" s="50">
        <v>45820</v>
      </c>
      <c r="L22" s="49">
        <v>19500000</v>
      </c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>
        <f>+J22+L22</f>
        <v>58500000</v>
      </c>
      <c r="Y22" s="55">
        <f>+H22-X22-V22</f>
        <v>6500000</v>
      </c>
      <c r="Z22" s="7"/>
      <c r="AA22" s="7" t="s">
        <v>112</v>
      </c>
    </row>
    <row r="23" spans="1:27" ht="43.5">
      <c r="A23" s="44" t="s">
        <v>18</v>
      </c>
      <c r="B23" s="45">
        <v>45771</v>
      </c>
      <c r="C23" s="44" t="s">
        <v>113</v>
      </c>
      <c r="D23" s="2" t="s">
        <v>114</v>
      </c>
      <c r="E23" s="3" t="s">
        <v>115</v>
      </c>
      <c r="F23" s="44" t="s">
        <v>33</v>
      </c>
      <c r="G23" s="2" t="s">
        <v>111</v>
      </c>
      <c r="H23" s="4">
        <v>106183000</v>
      </c>
      <c r="I23" s="121">
        <v>45833</v>
      </c>
      <c r="J23" s="120">
        <v>63709800</v>
      </c>
      <c r="K23" s="7"/>
      <c r="L23" s="49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49">
        <f>+J23+L23</f>
        <v>63709800</v>
      </c>
      <c r="Y23" s="55">
        <f>+H23-X23-V23</f>
        <v>42473200</v>
      </c>
      <c r="Z23" s="7"/>
      <c r="AA23" s="61" t="s">
        <v>116</v>
      </c>
    </row>
    <row r="24" spans="1:27" ht="57.95">
      <c r="A24" s="44" t="s">
        <v>18</v>
      </c>
      <c r="B24" s="45">
        <v>45797</v>
      </c>
      <c r="C24" s="44" t="s">
        <v>117</v>
      </c>
      <c r="D24" s="2" t="s">
        <v>118</v>
      </c>
      <c r="E24" s="3" t="s">
        <v>119</v>
      </c>
      <c r="F24" s="44" t="s">
        <v>43</v>
      </c>
      <c r="G24" s="2" t="s">
        <v>120</v>
      </c>
      <c r="H24" s="4">
        <f>363610000+12000000+11006866</f>
        <v>386616866</v>
      </c>
      <c r="I24" s="119"/>
      <c r="J24" s="119"/>
      <c r="K24" s="7"/>
      <c r="L24" s="4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55">
        <f>+H24-X24-V24</f>
        <v>386616866</v>
      </c>
      <c r="Z24" s="7"/>
      <c r="AA24" s="61" t="s">
        <v>121</v>
      </c>
    </row>
    <row r="25" spans="1:27" ht="57.95">
      <c r="A25" s="44" t="s">
        <v>18</v>
      </c>
      <c r="B25" s="45">
        <v>45812</v>
      </c>
      <c r="C25" s="44" t="s">
        <v>122</v>
      </c>
      <c r="D25" s="2" t="s">
        <v>123</v>
      </c>
      <c r="E25" s="3" t="s">
        <v>124</v>
      </c>
      <c r="F25" s="44" t="s">
        <v>33</v>
      </c>
      <c r="G25" s="2" t="s">
        <v>120</v>
      </c>
      <c r="H25" s="4">
        <v>669683741</v>
      </c>
      <c r="I25" s="119"/>
      <c r="J25" s="119"/>
      <c r="K25" s="7"/>
      <c r="L25" s="49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55">
        <f>+H25-X25-V25</f>
        <v>669683741</v>
      </c>
      <c r="Z25" s="7"/>
      <c r="AA25" s="61"/>
    </row>
    <row r="26" spans="1:27" ht="29.1">
      <c r="A26" s="44" t="s">
        <v>18</v>
      </c>
      <c r="B26" s="45">
        <v>45799</v>
      </c>
      <c r="C26" s="44" t="s">
        <v>125</v>
      </c>
      <c r="D26" s="2" t="s">
        <v>126</v>
      </c>
      <c r="E26" s="3"/>
      <c r="F26" s="44" t="s">
        <v>33</v>
      </c>
      <c r="G26" s="2" t="s">
        <v>127</v>
      </c>
      <c r="H26" s="4">
        <v>32528526</v>
      </c>
      <c r="I26" s="121">
        <v>45860</v>
      </c>
      <c r="J26" s="131">
        <v>9758558</v>
      </c>
      <c r="K26" s="7"/>
      <c r="L26" s="49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49">
        <f>+J26+L26</f>
        <v>9758558</v>
      </c>
      <c r="Y26" s="55">
        <f>+H26-X26-V26</f>
        <v>22769968</v>
      </c>
      <c r="Z26" s="7"/>
      <c r="AA26" s="61" t="s">
        <v>128</v>
      </c>
    </row>
    <row r="27" spans="1:27">
      <c r="A27" s="83" t="s">
        <v>129</v>
      </c>
      <c r="B27" s="84"/>
      <c r="C27" s="84"/>
      <c r="D27" s="85"/>
      <c r="E27" s="46"/>
      <c r="F27" s="84"/>
      <c r="G27" s="85"/>
      <c r="H27" s="85"/>
      <c r="I27" s="122"/>
      <c r="J27" s="122"/>
      <c r="K27" s="46"/>
      <c r="L27" s="129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86"/>
      <c r="Y27" s="87">
        <f>SUM(Y2:Y26)</f>
        <v>2107722241.8759999</v>
      </c>
    </row>
    <row r="29" spans="1:27">
      <c r="H29" s="78"/>
    </row>
    <row r="30" spans="1:27">
      <c r="H30" s="78"/>
    </row>
    <row r="31" spans="1:27">
      <c r="H31" s="78"/>
    </row>
    <row r="32" spans="1:27">
      <c r="H32" s="78"/>
    </row>
    <row r="34" spans="8:8">
      <c r="H34" s="51"/>
    </row>
    <row r="37" spans="8:8">
      <c r="H37" s="51"/>
    </row>
  </sheetData>
  <autoFilter ref="A1:AA27" xr:uid="{00000000-0009-0000-0000-000000000000}"/>
  <pageMargins left="0.7" right="0.7" top="0.75" bottom="0.75" header="0.3" footer="0.3"/>
  <pageSetup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263d6f-78a9-49ff-a5c9-96a22419e135">
      <Terms xmlns="http://schemas.microsoft.com/office/infopath/2007/PartnerControls"/>
    </lcf76f155ced4ddcb4097134ff3c332f>
    <TaxCatchAll xmlns="4c10c0ed-67ef-486e-8cdf-49cb961eb3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7F3C48C0DABA4BA49C1CE4049E40D3" ma:contentTypeVersion="16" ma:contentTypeDescription="Crear nuevo documento." ma:contentTypeScope="" ma:versionID="7f2be9710b812530dae8d902f02f3472">
  <xsd:schema xmlns:xsd="http://www.w3.org/2001/XMLSchema" xmlns:xs="http://www.w3.org/2001/XMLSchema" xmlns:p="http://schemas.microsoft.com/office/2006/metadata/properties" xmlns:ns2="e3263d6f-78a9-49ff-a5c9-96a22419e135" xmlns:ns3="4c10c0ed-67ef-486e-8cdf-49cb961eb332" targetNamespace="http://schemas.microsoft.com/office/2006/metadata/properties" ma:root="true" ma:fieldsID="b2fb31d5ed747bfbc71c86180fe9a01c" ns2:_="" ns3:_="">
    <xsd:import namespace="e3263d6f-78a9-49ff-a5c9-96a22419e135"/>
    <xsd:import namespace="4c10c0ed-67ef-486e-8cdf-49cb961eb3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263d6f-78a9-49ff-a5c9-96a22419e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81dd04d7-a9b7-45e3-b759-581493f69a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0c0ed-67ef-486e-8cdf-49cb961eb33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168810e2-2f1e-4f5c-b501-87fca0522be4}" ma:internalName="TaxCatchAll" ma:showField="CatchAllData" ma:web="4c10c0ed-67ef-486e-8cdf-49cb961eb3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E83D3E-89D2-4B0D-8EE2-F587AD043CE5}"/>
</file>

<file path=customXml/itemProps2.xml><?xml version="1.0" encoding="utf-8"?>
<ds:datastoreItem xmlns:ds="http://schemas.openxmlformats.org/officeDocument/2006/customXml" ds:itemID="{F7BA6DB3-7253-4AE3-8B9E-B32F49E35C82}"/>
</file>

<file path=customXml/itemProps3.xml><?xml version="1.0" encoding="utf-8"?>
<ds:datastoreItem xmlns:ds="http://schemas.openxmlformats.org/officeDocument/2006/customXml" ds:itemID="{B1F6CDC0-A067-41BD-9AE3-B17D6DFDDF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Contabilidad Evolti</dc:creator>
  <cp:keywords/>
  <dc:description/>
  <cp:lastModifiedBy/>
  <cp:revision/>
  <dcterms:created xsi:type="dcterms:W3CDTF">2025-01-30T15:47:37Z</dcterms:created>
  <dcterms:modified xsi:type="dcterms:W3CDTF">2025-08-05T20:53:21Z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0x0101001A7F3C48C0DABA4BA49C1CE4049E40D3</vt:lpwstr>
  </property>
  <property fmtid="{D5CDD505-2E9C-101B-9397-08002B2CF9AE}" pid="3" name="MediaServiceImageTags">
    <vt:lpwstr/>
  </property>
</Properties>
</file>