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laravel projects\github\edry2\public\support docs\"/>
    </mc:Choice>
  </mc:AlternateContent>
  <bookViews>
    <workbookView xWindow="0" yWindow="0" windowWidth="15300" windowHeight="7155" tabRatio="666"/>
  </bookViews>
  <sheets>
    <sheet name="Index" sheetId="15" r:id="rId1"/>
    <sheet name="Start project" sheetId="21" r:id="rId2"/>
    <sheet name="view controllers" sheetId="22" r:id="rId3"/>
    <sheet name="brain programming" sheetId="33" r:id="rId4"/>
    <sheet name="cleaning protocol" sheetId="32" r:id="rId5"/>
    <sheet name="tables and models" sheetId="23" r:id="rId6"/>
    <sheet name="CRUD" sheetId="31" r:id="rId7"/>
    <sheet name="csv" sheetId="30" r:id="rId8"/>
    <sheet name="ST2 snippets" sheetId="29" r:id="rId9"/>
    <sheet name="Modal" sheetId="28" r:id="rId10"/>
    <sheet name="imperfect update v1" sheetId="20" r:id="rId11"/>
    <sheet name="amChartsv1" sheetId="17" r:id="rId12"/>
    <sheet name="laravelAuth v1" sheetId="7" r:id="rId13"/>
    <sheet name="Laravel mail v1" sheetId="10" r:id="rId14"/>
    <sheet name="git commands" sheetId="2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0" l="1"/>
  <c r="C25" i="10" l="1"/>
  <c r="C24" i="24" l="1"/>
  <c r="C24" i="21" l="1"/>
  <c r="C15" i="21"/>
  <c r="B135" i="31" l="1"/>
  <c r="B137" i="31" l="1"/>
  <c r="B133" i="31"/>
  <c r="B131" i="31"/>
  <c r="B139" i="31"/>
  <c r="B127" i="31" l="1"/>
  <c r="H98" i="31"/>
  <c r="AD98" i="31" s="1"/>
  <c r="H99" i="31"/>
  <c r="AD99" i="31" s="1"/>
  <c r="H100" i="31"/>
  <c r="AD100" i="31" s="1"/>
  <c r="H101" i="31"/>
  <c r="AD101" i="31" s="1"/>
  <c r="H102" i="31"/>
  <c r="AD102" i="31" s="1"/>
  <c r="H103" i="31"/>
  <c r="AD103" i="31" s="1"/>
  <c r="H104" i="31"/>
  <c r="AD104" i="31" s="1"/>
  <c r="H105" i="31"/>
  <c r="AD105" i="31" s="1"/>
  <c r="H106" i="31"/>
  <c r="AD106" i="31" s="1"/>
  <c r="H97" i="31"/>
  <c r="AD97" i="31" s="1"/>
  <c r="B184" i="31" l="1"/>
  <c r="AL105" i="31"/>
  <c r="AL103" i="31"/>
  <c r="AL101" i="31"/>
  <c r="AL99" i="31"/>
  <c r="AL106" i="31"/>
  <c r="AL104" i="31"/>
  <c r="AL102" i="31"/>
  <c r="AL100" i="31"/>
  <c r="AL98" i="31"/>
  <c r="T106" i="31"/>
  <c r="U106" i="31"/>
  <c r="T104" i="31"/>
  <c r="U104" i="31"/>
  <c r="T102" i="31"/>
  <c r="U102" i="31"/>
  <c r="T100" i="31"/>
  <c r="U100" i="31"/>
  <c r="T98" i="31"/>
  <c r="U98" i="31"/>
  <c r="T105" i="31"/>
  <c r="U105" i="31"/>
  <c r="T103" i="31"/>
  <c r="U103" i="31"/>
  <c r="T101" i="31"/>
  <c r="B117" i="31" s="1"/>
  <c r="U101" i="31"/>
  <c r="T99" i="31"/>
  <c r="U99" i="31"/>
  <c r="B118" i="31"/>
  <c r="S98" i="31"/>
  <c r="S100" i="31"/>
  <c r="S102" i="31"/>
  <c r="S104" i="31"/>
  <c r="S106" i="31"/>
  <c r="S97" i="31"/>
  <c r="T97" i="31" s="1"/>
  <c r="S99" i="31"/>
  <c r="S101" i="31"/>
  <c r="S103" i="31"/>
  <c r="S105" i="31"/>
  <c r="B98" i="31"/>
  <c r="B99" i="31"/>
  <c r="B100" i="31"/>
  <c r="B101" i="31"/>
  <c r="B102" i="31"/>
  <c r="B103" i="31"/>
  <c r="B104" i="31"/>
  <c r="B105" i="31"/>
  <c r="B106" i="31"/>
  <c r="B97" i="31"/>
  <c r="B14" i="31"/>
  <c r="AF106" i="31" l="1"/>
  <c r="X106" i="31"/>
  <c r="AF104" i="31"/>
  <c r="X104" i="31"/>
  <c r="AF102" i="31"/>
  <c r="X102" i="31"/>
  <c r="AF100" i="31"/>
  <c r="X100" i="31"/>
  <c r="AF105" i="31"/>
  <c r="X105" i="31"/>
  <c r="AF103" i="31"/>
  <c r="X103" i="31"/>
  <c r="AF101" i="31"/>
  <c r="X101" i="31"/>
  <c r="AL97" i="31"/>
  <c r="AM97" i="31" s="1"/>
  <c r="AM98" i="31" s="1"/>
  <c r="AM99" i="31" s="1"/>
  <c r="AM100" i="31" s="1"/>
  <c r="AM101" i="31" s="1"/>
  <c r="AM102" i="31" s="1"/>
  <c r="AM103" i="31" s="1"/>
  <c r="AM104" i="31" s="1"/>
  <c r="AM105" i="31" s="1"/>
  <c r="AM106" i="31" s="1"/>
  <c r="U97" i="31"/>
  <c r="V97" i="31" s="1"/>
  <c r="V98" i="31" s="1"/>
  <c r="V99" i="31" s="1"/>
  <c r="V100" i="31" s="1"/>
  <c r="V101" i="31" s="1"/>
  <c r="V102" i="31" s="1"/>
  <c r="V103" i="31" s="1"/>
  <c r="V104" i="31" s="1"/>
  <c r="V105" i="31" s="1"/>
  <c r="V106" i="31" s="1"/>
  <c r="N106" i="31"/>
  <c r="O106" i="31"/>
  <c r="N104" i="31"/>
  <c r="O104" i="31"/>
  <c r="N102" i="31"/>
  <c r="O102" i="31"/>
  <c r="O100" i="31"/>
  <c r="N105" i="31"/>
  <c r="O105" i="31"/>
  <c r="N103" i="31"/>
  <c r="O103" i="31"/>
  <c r="N101" i="31"/>
  <c r="O101" i="31"/>
  <c r="B116" i="31"/>
  <c r="M106" i="31"/>
  <c r="M104" i="31"/>
  <c r="M102" i="31"/>
  <c r="M100" i="31"/>
  <c r="N100" i="31" s="1"/>
  <c r="M98" i="31"/>
  <c r="N98" i="31" s="1"/>
  <c r="M97" i="31"/>
  <c r="N97" i="31" s="1"/>
  <c r="M105" i="31"/>
  <c r="M103" i="31"/>
  <c r="M101" i="31"/>
  <c r="M99" i="31"/>
  <c r="N99" i="31" s="1"/>
  <c r="D16" i="31"/>
  <c r="D15" i="31"/>
  <c r="D14" i="31"/>
  <c r="AF98" i="31" l="1"/>
  <c r="AF99" i="31"/>
  <c r="AF97" i="31"/>
  <c r="AG97" i="31" s="1"/>
  <c r="AG98" i="31" s="1"/>
  <c r="O99" i="31"/>
  <c r="B114" i="31"/>
  <c r="B115" i="31"/>
  <c r="O97" i="31"/>
  <c r="P97" i="31" s="1"/>
  <c r="O98" i="31"/>
  <c r="B113" i="31"/>
  <c r="B16" i="31"/>
  <c r="AF16" i="31" s="1"/>
  <c r="B17" i="31"/>
  <c r="B18" i="31"/>
  <c r="B19" i="31"/>
  <c r="B20" i="31"/>
  <c r="B21" i="31"/>
  <c r="B22" i="31"/>
  <c r="B23" i="31"/>
  <c r="AG99" i="31" l="1"/>
  <c r="AG100" i="31" s="1"/>
  <c r="AG101" i="31" s="1"/>
  <c r="AG102" i="31" s="1"/>
  <c r="AG103" i="31" s="1"/>
  <c r="AG104" i="31" s="1"/>
  <c r="AG105" i="31" s="1"/>
  <c r="AG106" i="31" s="1"/>
  <c r="AG107" i="31" s="1"/>
  <c r="B211" i="31" s="1"/>
  <c r="P98" i="31"/>
  <c r="P99" i="31" s="1"/>
  <c r="P100" i="31" s="1"/>
  <c r="P101" i="31" s="1"/>
  <c r="P102" i="31" s="1"/>
  <c r="P103" i="31" s="1"/>
  <c r="P104" i="31" s="1"/>
  <c r="P105" i="31" s="1"/>
  <c r="P106" i="31" s="1"/>
  <c r="P107" i="31" s="1"/>
  <c r="AM23" i="31"/>
  <c r="P23" i="31"/>
  <c r="AF23" i="31"/>
  <c r="AM21" i="31"/>
  <c r="P21" i="31"/>
  <c r="AF21" i="31"/>
  <c r="AM22" i="31"/>
  <c r="AF22" i="31"/>
  <c r="P22" i="31"/>
  <c r="AM20" i="31"/>
  <c r="AF20" i="31"/>
  <c r="P20" i="31"/>
  <c r="P19" i="31"/>
  <c r="AF19" i="31"/>
  <c r="AM19" i="31" s="1"/>
  <c r="AF18" i="31"/>
  <c r="AM18" i="31" s="1"/>
  <c r="AF17" i="31"/>
  <c r="AM17" i="31" s="1"/>
  <c r="AM16" i="31"/>
  <c r="X23" i="31"/>
  <c r="X21" i="31"/>
  <c r="X19" i="31"/>
  <c r="X17" i="31"/>
  <c r="X22" i="31"/>
  <c r="X20" i="31"/>
  <c r="X18" i="31"/>
  <c r="X16" i="31"/>
  <c r="H14" i="31"/>
  <c r="H15" i="31"/>
  <c r="B15" i="31"/>
  <c r="AF15" i="31" s="1"/>
  <c r="H16" i="31"/>
  <c r="H17" i="31"/>
  <c r="H18" i="31"/>
  <c r="H19" i="31"/>
  <c r="H20" i="31"/>
  <c r="H21" i="31"/>
  <c r="H22" i="31"/>
  <c r="H23" i="31"/>
  <c r="AF14" i="31"/>
  <c r="B84" i="31" l="1"/>
  <c r="B64" i="31"/>
  <c r="W18" i="31"/>
  <c r="W22" i="31"/>
  <c r="W19" i="31"/>
  <c r="W23" i="31"/>
  <c r="W20" i="31"/>
  <c r="W17" i="31"/>
  <c r="W21" i="31"/>
  <c r="V22" i="31"/>
  <c r="AL22" i="31"/>
  <c r="V20" i="31"/>
  <c r="AL20" i="31"/>
  <c r="V18" i="31"/>
  <c r="AL18" i="31"/>
  <c r="V16" i="31"/>
  <c r="AL16" i="31"/>
  <c r="V15" i="31"/>
  <c r="AL15" i="31"/>
  <c r="V23" i="31"/>
  <c r="AL23" i="31"/>
  <c r="V21" i="31"/>
  <c r="AL21" i="31"/>
  <c r="V19" i="31"/>
  <c r="AL19" i="31"/>
  <c r="V17" i="31"/>
  <c r="AL17" i="31"/>
  <c r="AL14" i="31"/>
  <c r="AS14" i="31" s="1"/>
  <c r="B83" i="31"/>
  <c r="AS22" i="31"/>
  <c r="AS20" i="31"/>
  <c r="AS18" i="31"/>
  <c r="AS16" i="31"/>
  <c r="AS15" i="31"/>
  <c r="AM14" i="31"/>
  <c r="AS23" i="31"/>
  <c r="AS21" i="31"/>
  <c r="AS19" i="31"/>
  <c r="AS17" i="31"/>
  <c r="AM15" i="31"/>
  <c r="AD14" i="31"/>
  <c r="AC14" i="31" s="1"/>
  <c r="AE14" i="31" s="1"/>
  <c r="AD23" i="31"/>
  <c r="AC23" i="31" s="1"/>
  <c r="AD21" i="31"/>
  <c r="AC21" i="31" s="1"/>
  <c r="AD19" i="31"/>
  <c r="AC19" i="31" s="1"/>
  <c r="AD17" i="31"/>
  <c r="AC17" i="31" s="1"/>
  <c r="X14" i="31"/>
  <c r="W14" i="31" s="1"/>
  <c r="AD22" i="31"/>
  <c r="AC22" i="31" s="1"/>
  <c r="AD20" i="31"/>
  <c r="AC20" i="31" s="1"/>
  <c r="AD18" i="31"/>
  <c r="AC18" i="31" s="1"/>
  <c r="AD16" i="31"/>
  <c r="AC16" i="31" s="1"/>
  <c r="AD15" i="31"/>
  <c r="AC15" i="31" s="1"/>
  <c r="N14" i="31"/>
  <c r="O14" i="31" s="1"/>
  <c r="X15" i="31"/>
  <c r="L14" i="31"/>
  <c r="L15" i="31" s="1"/>
  <c r="L16" i="31" s="1"/>
  <c r="L17" i="31" s="1"/>
  <c r="L18" i="31" s="1"/>
  <c r="L19" i="31" s="1"/>
  <c r="L20" i="31" s="1"/>
  <c r="L21" i="31" s="1"/>
  <c r="L22" i="31" s="1"/>
  <c r="L23" i="31" s="1"/>
  <c r="M23" i="31" s="1"/>
  <c r="O20" i="31"/>
  <c r="O15" i="31"/>
  <c r="O22" i="31"/>
  <c r="O18" i="31"/>
  <c r="O16" i="31"/>
  <c r="O23" i="31"/>
  <c r="O21" i="31"/>
  <c r="O19" i="31"/>
  <c r="O17" i="31"/>
  <c r="C80" i="23"/>
  <c r="E74" i="23"/>
  <c r="E73" i="23"/>
  <c r="B66" i="31" l="1"/>
  <c r="W15" i="31"/>
  <c r="B86" i="31"/>
  <c r="W16" i="31"/>
  <c r="Y14" i="31"/>
  <c r="B85" i="31"/>
  <c r="B87" i="31"/>
  <c r="B82" i="31"/>
  <c r="N15" i="31"/>
  <c r="N16" i="31" s="1"/>
  <c r="N17" i="31" s="1"/>
  <c r="N18" i="31" s="1"/>
  <c r="N19" i="31" s="1"/>
  <c r="N20" i="31" s="1"/>
  <c r="N21" i="31" s="1"/>
  <c r="N22" i="31" s="1"/>
  <c r="N23" i="31" s="1"/>
  <c r="M16" i="31"/>
  <c r="B32" i="31"/>
  <c r="B31" i="31"/>
  <c r="AE15" i="31"/>
  <c r="AE16" i="31" s="1"/>
  <c r="AE17" i="31" s="1"/>
  <c r="AE18" i="31" s="1"/>
  <c r="AE19" i="31" s="1"/>
  <c r="AE20" i="31" s="1"/>
  <c r="AE21" i="31" s="1"/>
  <c r="AE22" i="31" s="1"/>
  <c r="AE23" i="31" s="1"/>
  <c r="B30" i="31"/>
  <c r="M14" i="31"/>
  <c r="M15" i="31"/>
  <c r="B67" i="31"/>
  <c r="M22" i="31"/>
  <c r="M21" i="31"/>
  <c r="M19" i="31"/>
  <c r="M18" i="31"/>
  <c r="M17" i="31"/>
  <c r="M20" i="31"/>
  <c r="C15" i="28"/>
  <c r="B42" i="28" s="1"/>
  <c r="D37" i="28"/>
  <c r="C13" i="28"/>
  <c r="B23" i="28"/>
  <c r="E11" i="28"/>
  <c r="Y15" i="31" l="1"/>
  <c r="Y16" i="31" s="1"/>
  <c r="Y17" i="31" s="1"/>
  <c r="Y18" i="31" s="1"/>
  <c r="Y19" i="31" s="1"/>
  <c r="Y20" i="31" s="1"/>
  <c r="Y21" i="31" s="1"/>
  <c r="Y22" i="31" s="1"/>
  <c r="Y23" i="31" s="1"/>
  <c r="B27" i="31"/>
  <c r="B29" i="31"/>
  <c r="B28" i="31"/>
  <c r="B40" i="28"/>
  <c r="B17" i="28"/>
  <c r="D36" i="28"/>
  <c r="B22" i="10" l="1"/>
  <c r="B18" i="10"/>
  <c r="C90" i="24" l="1"/>
  <c r="C89" i="24"/>
  <c r="C84" i="24"/>
  <c r="C80" i="24"/>
  <c r="C78" i="24"/>
  <c r="C77" i="24"/>
  <c r="C70" i="24"/>
  <c r="C69" i="24"/>
  <c r="C18" i="24"/>
  <c r="F17" i="24"/>
  <c r="C12" i="24"/>
  <c r="C34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G31" i="10" l="1"/>
  <c r="G32" i="10" s="1"/>
  <c r="G33" i="10" s="1"/>
  <c r="J30" i="10"/>
  <c r="J33" i="10"/>
  <c r="J34" i="10"/>
  <c r="J31" i="10"/>
  <c r="C18" i="23"/>
  <c r="C17" i="23"/>
  <c r="D60" i="23"/>
  <c r="O50" i="23"/>
  <c r="K50" i="23"/>
  <c r="J50" i="23"/>
  <c r="O49" i="23"/>
  <c r="K49" i="23"/>
  <c r="J49" i="23"/>
  <c r="O48" i="23"/>
  <c r="K48" i="23"/>
  <c r="J48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Q41" i="23" s="1"/>
  <c r="N41" i="23"/>
  <c r="N42" i="23" s="1"/>
  <c r="N43" i="23" s="1"/>
  <c r="N44" i="23" s="1"/>
  <c r="N45" i="23" s="1"/>
  <c r="N46" i="23" s="1"/>
  <c r="N47" i="23" s="1"/>
  <c r="N48" i="23" s="1"/>
  <c r="N49" i="23" s="1"/>
  <c r="N50" i="23" s="1"/>
  <c r="K41" i="23"/>
  <c r="J41" i="23"/>
  <c r="F39" i="23"/>
  <c r="P18" i="31" s="1"/>
  <c r="F36" i="23"/>
  <c r="F35" i="23"/>
  <c r="F34" i="23"/>
  <c r="C5" i="23"/>
  <c r="C16" i="21"/>
  <c r="C17" i="22"/>
  <c r="C16" i="22"/>
  <c r="C59" i="22"/>
  <c r="C58" i="22"/>
  <c r="C57" i="22"/>
  <c r="G56" i="22"/>
  <c r="H38" i="22"/>
  <c r="C63" i="22" s="1"/>
  <c r="C38" i="22"/>
  <c r="C37" i="22"/>
  <c r="H36" i="22"/>
  <c r="E36" i="22"/>
  <c r="H35" i="22"/>
  <c r="C5" i="22"/>
  <c r="K13" i="10"/>
  <c r="C17" i="21"/>
  <c r="C5" i="21"/>
  <c r="C78" i="23" l="1"/>
  <c r="C77" i="23"/>
  <c r="C20" i="22"/>
  <c r="C25" i="22"/>
  <c r="C21" i="23"/>
  <c r="C26" i="23"/>
  <c r="B198" i="31"/>
  <c r="B181" i="31"/>
  <c r="B195" i="31"/>
  <c r="B177" i="31"/>
  <c r="B197" i="31"/>
  <c r="B150" i="31"/>
  <c r="B191" i="31"/>
  <c r="B171" i="31"/>
  <c r="B166" i="31"/>
  <c r="B165" i="31"/>
  <c r="B143" i="31"/>
  <c r="B142" i="31"/>
  <c r="B141" i="31"/>
  <c r="B179" i="31"/>
  <c r="B178" i="31"/>
  <c r="B152" i="31"/>
  <c r="B172" i="31"/>
  <c r="B144" i="31"/>
  <c r="B160" i="31"/>
  <c r="B126" i="31"/>
  <c r="B194" i="31"/>
  <c r="B180" i="31"/>
  <c r="B199" i="31"/>
  <c r="B201" i="31"/>
  <c r="B176" i="31"/>
  <c r="B189" i="31"/>
  <c r="B193" i="31"/>
  <c r="B169" i="31"/>
  <c r="B161" i="31"/>
  <c r="B149" i="31"/>
  <c r="B147" i="31"/>
  <c r="B146" i="31"/>
  <c r="B134" i="31"/>
  <c r="B173" i="31"/>
  <c r="B174" i="31"/>
  <c r="B58" i="31"/>
  <c r="B168" i="31"/>
  <c r="B132" i="31"/>
  <c r="B158" i="31"/>
  <c r="B128" i="31"/>
  <c r="X98" i="31"/>
  <c r="X99" i="31"/>
  <c r="X97" i="31"/>
  <c r="B185" i="31"/>
  <c r="B71" i="31"/>
  <c r="B51" i="31"/>
  <c r="B40" i="31"/>
  <c r="B42" i="31"/>
  <c r="V14" i="31"/>
  <c r="B65" i="31" s="1"/>
  <c r="P14" i="31"/>
  <c r="B74" i="31"/>
  <c r="P17" i="31"/>
  <c r="B63" i="31" s="1"/>
  <c r="P15" i="31"/>
  <c r="B73" i="31"/>
  <c r="B72" i="31"/>
  <c r="P16" i="31"/>
  <c r="B69" i="31"/>
  <c r="B61" i="31"/>
  <c r="G39" i="23"/>
  <c r="B57" i="31"/>
  <c r="C15" i="10"/>
  <c r="C14" i="10"/>
  <c r="C63" i="23"/>
  <c r="Q42" i="23"/>
  <c r="Q43" i="23" s="1"/>
  <c r="Q44" i="23" s="1"/>
  <c r="Q45" i="23" s="1"/>
  <c r="Q46" i="23" s="1"/>
  <c r="Q47" i="23" s="1"/>
  <c r="Q48" i="23" s="1"/>
  <c r="Q49" i="23" s="1"/>
  <c r="Q50" i="23" s="1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39" i="22"/>
  <c r="C41" i="22"/>
  <c r="D56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B124" i="31" l="1"/>
  <c r="B218" i="31"/>
  <c r="B208" i="31"/>
  <c r="B80" i="31"/>
  <c r="B217" i="31"/>
  <c r="B213" i="31"/>
  <c r="B183" i="31"/>
  <c r="C56" i="23"/>
  <c r="B81" i="31"/>
  <c r="B62" i="31"/>
  <c r="M36" i="23"/>
  <c r="C54" i="23" s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<sst xmlns="http://schemas.openxmlformats.org/spreadsheetml/2006/main" count="773" uniqueCount="542">
  <si>
    <t>sublime_text  .</t>
  </si>
  <si>
    <t>prayers</t>
  </si>
  <si>
    <t>}</t>
  </si>
  <si>
    <t>php artisan serve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</si>
  <si>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</si>
  <si>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</si>
  <si>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</si>
  <si>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</si>
  <si>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</si>
  <si>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</si>
  <si>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</si>
  <si>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</si>
  <si>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</si>
  <si>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</si>
  <si>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</si>
  <si>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</si>
  <si>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</si>
  <si>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</si>
  <si>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</si>
  <si>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</si>
  <si>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</si>
  <si>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</si>
  <si>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</si>
  <si>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</si>
  <si>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</si>
  <si>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</si>
  <si>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</si>
  <si>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</si>
  <si>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</si>
  <si>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</si>
  <si>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</si>
  <si>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</si>
  <si>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</si>
  <si>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</si>
  <si>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</si>
  <si>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</si>
  <si>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</si>
  <si>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</si>
  <si>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</si>
  <si>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</si>
  <si>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</si>
  <si>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</si>
  <si>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</si>
  <si>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</si>
  <si>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</si>
  <si>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</si>
  <si>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</si>
  <si>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</si>
  <si>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</si>
  <si>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</si>
  <si>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</si>
  <si>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</si>
  <si>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</si>
  <si>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</si>
  <si>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</si>
  <si>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</si>
  <si>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</si>
  <si>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</si>
  <si>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</si>
  <si>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</si>
  <si>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</si>
  <si>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</si>
  <si>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</si>
  <si>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</si>
  <si>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</si>
  <si>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</si>
  <si>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</si>
  <si>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</si>
  <si>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</si>
  <si>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</si>
  <si>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</si>
  <si>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</si>
  <si>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</si>
  <si>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</si>
  <si>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</si>
  <si>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</si>
  <si>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</si>
  <si>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</si>
  <si>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</si>
  <si>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</si>
  <si>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</si>
  <si>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</si>
  <si>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</si>
  <si>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</si>
  <si>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</si>
  <si>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</si>
  <si>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</si>
  <si>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</si>
  <si>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</si>
  <si>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</si>
  <si>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</si>
  <si>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</si>
  <si>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</si>
  <si>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</si>
  <si>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</si>
  <si>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','</t>
  </si>
  <si>
    <t>');</t>
  </si>
  <si>
    <t>name</t>
  </si>
  <si>
    <t>post</t>
  </si>
  <si>
    <t>&lt;?php</t>
  </si>
  <si>
    <t>ADDING COLUMNS TO TABLES</t>
  </si>
  <si>
    <t>column name</t>
  </si>
  <si>
    <t>Type</t>
  </si>
  <si>
    <t>table</t>
  </si>
  <si>
    <t>Route::controller('</t>
  </si>
  <si>
    <t>@endforeach</t>
  </si>
  <si>
    <t>?&gt;</t>
  </si>
  <si>
    <t>php artisan generate:migration add_</t>
  </si>
  <si>
    <t>_to_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</si>
  <si>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</si>
  <si>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</si>
  <si>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</si>
  <si>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</si>
  <si>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</si>
  <si>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</si>
  <si>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</si>
  <si>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</si>
  <si>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</si>
  <si>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</si>
  <si>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</si>
  <si>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</si>
  <si>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</si>
  <si>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</si>
  <si>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</si>
  <si>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</si>
  <si>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</si>
  <si>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</si>
  <si>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</si>
  <si>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</si>
  <si>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</si>
  <si>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</si>
  <si>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</si>
  <si>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</si>
  <si>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</si>
  <si>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</si>
  <si>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</si>
  <si>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</si>
  <si>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</si>
  <si>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</si>
  <si>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</si>
  <si>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</si>
  <si>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</si>
  <si>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</si>
  <si>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</si>
  <si>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</si>
  <si>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</si>
  <si>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</si>
  <si>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</si>
  <si>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</si>
  <si>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</si>
  <si>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</si>
  <si>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</si>
  <si>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</si>
  <si>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</si>
  <si>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</si>
  <si>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</si>
  <si>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</si>
  <si>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</si>
  <si>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</si>
  <si>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</si>
  <si>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</si>
  <si>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</si>
  <si>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</si>
  <si>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&lt;/div&gt;</t>
  </si>
  <si>
    <t xml:space="preserve">    {{--modal body--}}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</si>
  <si>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</si>
  <si>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</si>
  <si>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</si>
  <si>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</si>
  <si>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</si>
  <si>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</si>
  <si>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</si>
  <si>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</si>
  <si>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</si>
  <si>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</si>
  <si>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</si>
  <si>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</si>
  <si>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</si>
  <si>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</si>
  <si>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</si>
  <si>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</si>
  <si>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</si>
  <si>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</si>
  <si>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</si>
  <si>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</si>
  <si>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</si>
  <si>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 &gt;&gt;</t>
  </si>
  <si>
    <t>Copy / paste edry folder content in new project (windows view)</t>
  </si>
  <si>
    <t>Tables and models  &gt;&gt;</t>
  </si>
  <si>
    <t>AUTOMATED LARAVEL MAIL SENDER CONSTRUCTOR VERSION 2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</si>
  <si>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</si>
  <si>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</si>
  <si>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</si>
  <si>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</si>
  <si>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</si>
  <si>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</si>
  <si>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</si>
  <si>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</si>
  <si>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</si>
  <si>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</si>
  <si>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</si>
  <si>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</si>
  <si>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</si>
  <si>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</si>
  <si>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</si>
  <si>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</si>
  <si>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</si>
  <si>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</si>
  <si>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</si>
  <si>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</si>
  <si>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</si>
  <si>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</si>
  <si>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</si>
  <si>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</si>
  <si>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</si>
  <si>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</si>
  <si>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</si>
  <si>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</si>
  <si>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</si>
  <si>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</si>
  <si>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</si>
  <si>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</si>
  <si>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</si>
  <si>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</si>
  <si>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</si>
  <si>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</si>
  <si>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</si>
  <si>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</si>
  <si>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</si>
  <si>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</si>
  <si>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</si>
  <si>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</si>
  <si>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</si>
  <si>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</si>
  <si>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</si>
  <si>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</si>
  <si>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</si>
  <si>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</si>
  <si>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</si>
  <si>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</si>
  <si>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</si>
  <si>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</si>
  <si>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</si>
  <si>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</si>
  <si>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</si>
  <si>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</si>
  <si>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</si>
  <si>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</si>
  <si>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</si>
  <si>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</si>
  <si>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</si>
  <si>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</si>
  <si>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</si>
  <si>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</si>
  <si>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</si>
  <si>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</si>
  <si>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</si>
  <si>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</si>
  <si>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</si>
  <si>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</si>
  <si>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</si>
  <si>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</si>
  <si>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</si>
  <si>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</si>
  <si>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</si>
  <si>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</si>
  <si>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</si>
  <si>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</si>
  <si>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</si>
  <si>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</si>
  <si>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</si>
  <si>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View tester: open EmailtesterController.php</t>
  </si>
  <si>
    <t>$project=</t>
  </si>
  <si>
    <t>Controller tester</t>
  </si>
  <si>
    <t xml:space="preserve">        &lt;/div&gt;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</si>
  <si>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</si>
  <si>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</si>
  <si>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</si>
  <si>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</si>
  <si>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</si>
  <si>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</si>
  <si>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</si>
  <si>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</si>
  <si>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</si>
  <si>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</si>
  <si>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</si>
  <si>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</si>
  <si>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</si>
  <si>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</si>
  <si>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</si>
  <si>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</si>
  <si>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</si>
  <si>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</si>
  <si>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</si>
  <si>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</si>
  <si>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</si>
  <si>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</si>
  <si>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</si>
  <si>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</si>
  <si>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</si>
  <si>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</si>
  <si>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</si>
  <si>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</si>
  <si>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</si>
  <si>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</si>
  <si>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</si>
  <si>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</si>
  <si>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</si>
  <si>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</si>
  <si>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</si>
  <si>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</si>
  <si>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</si>
  <si>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</si>
  <si>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</si>
  <si>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</si>
  <si>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URL to</t>
  </si>
  <si>
    <t>URL::to('someaddress')</t>
  </si>
  <si>
    <t>lu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</si>
  <si>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</si>
  <si>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</si>
  <si>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</si>
  <si>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</si>
  <si>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</si>
  <si>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</si>
  <si>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</si>
  <si>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</si>
  <si>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</si>
  <si>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</si>
  <si>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</si>
  <si>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</si>
  <si>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</si>
  <si>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</si>
  <si>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</si>
  <si>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</si>
  <si>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</si>
  <si>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</si>
  <si>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</si>
  <si>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</si>
  <si>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</si>
  <si>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</si>
  <si>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</si>
  <si>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</si>
  <si>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</si>
  <si>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</si>
  <si>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</si>
  <si>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</si>
  <si>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html form</t>
  </si>
  <si>
    <t>Rules:</t>
  </si>
  <si>
    <t>1. AJAX post method</t>
  </si>
  <si>
    <t>@foreach(Stuff::all() as $k=&gt;$v)</t>
  </si>
  <si>
    <r>
      <t>2. Syntax for input ids: input_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</si>
  <si>
    <r>
      <t xml:space="preserve">    b. fields ids: 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</si>
  <si>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>Example: table stuffs with fields name, description, created_at</t>
  </si>
  <si>
    <t xml:space="preserve">        @foreach($header as $h)</t>
  </si>
  <si>
    <t xml:space="preserve">        @endforeach</t>
  </si>
  <si>
    <r>
      <t xml:space="preserve">    c. html class syntax (required for jQuery .each function)= each_</t>
    </r>
    <r>
      <rPr>
        <sz val="11"/>
        <color rgb="FF00B0F0"/>
        <rFont val="Calibri"/>
        <family val="2"/>
        <scheme val="minor"/>
      </rPr>
      <t>[tablename in singular]</t>
    </r>
  </si>
  <si>
    <r>
      <t xml:space="preserve">    a. rows ids: each_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</si>
  <si>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 xml:space="preserve">                Confirm deleting</t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</si>
  <si>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_canceldelete_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</si>
  <si>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_confirmdelete_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</si>
  <si>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&lt;button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'&gt;Delete&lt;/div&gt;</t>
    </r>
  </si>
  <si>
    <r>
      <t xml:space="preserve">            &lt;div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{{$h}}</t>
    </r>
    <r>
      <rPr>
        <sz val="11"/>
        <color theme="0"/>
        <rFont val="Calibri"/>
        <family val="2"/>
        <scheme val="minor"/>
      </rPr>
      <t>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'&gt;{{$v-&gt;description}}&lt;/div&gt;</t>
    </r>
  </si>
  <si>
    <r>
      <t xml:space="preserve">    &lt;div class='row each_stuff'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</t>
    </r>
  </si>
  <si>
    <r>
      <t xml:space="preserve">            &lt;div class='hide'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verifydelete_row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</t>
    </r>
  </si>
  <si>
    <r>
      <t xml:space="preserve">                &lt;img class='hide' src='progressbar.gif'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_progressbar_delete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/&gt;</t>
    </r>
  </si>
  <si>
    <t>&lt;?php $header=array(['name',1],['description',1],['created_at',0]);  ?&gt;</t>
  </si>
  <si>
    <r>
      <t xml:space="preserve">    &lt;input type="text" id="input_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description</t>
    </r>
    <r>
      <rPr>
        <sz val="11"/>
        <color theme="0"/>
        <rFont val="Calibri"/>
        <family val="2"/>
        <scheme val="minor"/>
      </rPr>
      <t>"&gt;</t>
    </r>
  </si>
  <si>
    <t>SEE RULES AT THE BOTTOM OF THIS SPREADSHEET</t>
  </si>
  <si>
    <t>Column</t>
  </si>
  <si>
    <t>Label</t>
  </si>
  <si>
    <t>Placeholder</t>
  </si>
  <si>
    <t>Editable</t>
  </si>
  <si>
    <t>Invisible array</t>
  </si>
  <si>
    <t>comma</t>
  </si>
  <si>
    <t>1 to 3</t>
  </si>
  <si>
    <t>4 to 6</t>
  </si>
  <si>
    <t>7 to 10</t>
  </si>
  <si>
    <t>11 to 13</t>
  </si>
  <si>
    <t>14 to 16</t>
  </si>
  <si>
    <t>17 to 20</t>
  </si>
  <si>
    <t xml:space="preserve">4. Syntax for HTML tables (read): div as row (or tr) </t>
  </si>
  <si>
    <t>3. Syntax for save button id: id='createnew[tablename in singular]_row'</t>
  </si>
  <si>
    <r>
      <t xml:space="preserve">    &lt;button class='btn' id="createnew</t>
    </r>
    <r>
      <rPr>
        <sz val="11"/>
        <color rgb="FF00FF0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_row"&gt;</t>
    </r>
  </si>
  <si>
    <t>@foreach($header as $h)</t>
  </si>
  <si>
    <t>&lt;div class="row"&gt;</t>
  </si>
  <si>
    <t xml:space="preserve">    &lt;div class='span2 text-right'&gt;{{$h[1]}}&lt;/div&gt;</t>
  </si>
  <si>
    <t>);  ?&gt;</t>
  </si>
  <si>
    <t>&lt;?php $header=array(</t>
  </si>
  <si>
    <t>javascript</t>
  </si>
  <si>
    <t xml:space="preserve">    $(this).hide();</t>
  </si>
  <si>
    <t xml:space="preserve">    var base=$('#base').html();</t>
  </si>
  <si>
    <t xml:space="preserve">    });</t>
  </si>
  <si>
    <t>Ajax controller (app/controllers/AjaxController.php)</t>
  </si>
  <si>
    <t xml:space="preserve">   }</t>
  </si>
  <si>
    <t xml:space="preserve">    return 1;</t>
  </si>
  <si>
    <t>js var builder</t>
  </si>
  <si>
    <t>POST object builder</t>
  </si>
  <si>
    <t>php post var</t>
  </si>
  <si>
    <t>php save</t>
  </si>
  <si>
    <t xml:space="preserve">    $insert-&gt;save();</t>
  </si>
  <si>
    <t>@section('scripts')</t>
  </si>
  <si>
    <t>{{--section for scripts as js jquery or amcharts commands --}}</t>
  </si>
  <si>
    <t xml:space="preserve">    &lt;script&gt;</t>
  </si>
  <si>
    <t xml:space="preserve">    &lt;/script&gt;</t>
  </si>
  <si>
    <t>pray</t>
  </si>
  <si>
    <t>number</t>
  </si>
  <si>
    <t>answer</t>
  </si>
  <si>
    <t>textinput</t>
  </si>
  <si>
    <t xml:space="preserve">    &lt;div class='span2'&gt;</t>
  </si>
  <si>
    <t xml:space="preserve">        @if($h[3]==1)</t>
  </si>
  <si>
    <t xml:space="preserve">        @else</t>
  </si>
  <si>
    <t xml:space="preserve">        @endif</t>
  </si>
  <si>
    <t xml:space="preserve">        put radiobutton or checkbox here and concatenate data in hidden input (obiously not shown)</t>
  </si>
  <si>
    <t>Create</t>
  </si>
  <si>
    <t>Read - Update</t>
  </si>
  <si>
    <t>Delete</t>
  </si>
  <si>
    <t xml:space="preserve">        @elseif ($h[3]==2)</t>
  </si>
  <si>
    <t xml:space="preserve">        &lt;/select&gt;</t>
  </si>
  <si>
    <t xml:space="preserve">            &lt;?php $option=array($array(1,first),array(2,second));  ?&gt;</t>
  </si>
  <si>
    <t xml:space="preserve">            @foreach($option as $o)</t>
  </si>
  <si>
    <t xml:space="preserve">            @endforeach</t>
  </si>
  <si>
    <t xml:space="preserve">                &lt;option value='{{$o[0]}}'&gt;{{$o[1]}}&lt;/option&gt;</t>
  </si>
  <si>
    <t xml:space="preserve">            &lt;option value=''&gt;Choose option&lt;/option&gt;</t>
  </si>
  <si>
    <t>header</t>
  </si>
  <si>
    <t>Header not shown as table.  Data should be sorted as desired and tags should be changed</t>
  </si>
  <si>
    <t>Array with data for retrieving information from model</t>
  </si>
  <si>
    <t>$read=array(</t>
  </si>
  <si>
    <t>display? 1/0</t>
  </si>
  <si>
    <t>Edit?</t>
  </si>
  <si>
    <t>edit? 1/0</t>
  </si>
  <si>
    <t>Name</t>
  </si>
  <si>
    <t>{{--first if: readable--}}</t>
  </si>
  <si>
    <t xml:space="preserve">    @endforeach</t>
  </si>
  <si>
    <t>Amount</t>
  </si>
  <si>
    <t>Description</t>
  </si>
  <si>
    <t>5. Edit rules</t>
  </si>
  <si>
    <t xml:space="preserve">   a.  Inline edit will not consist on clicking and editing as it is not very secure.  ALL EDITIONS MUST BE REQUESTED BY AN EDIT BUTTON</t>
  </si>
  <si>
    <t xml:space="preserve">   b. All editable data with class table_editable{{$model-&gt;id}} and field for edition with hidden property and class table_editing{{$model-&gt;id}}</t>
  </si>
  <si>
    <t xml:space="preserve">        {{$r[1]}} &lt;spam class='{{$class}}'  id='{{$m_id}}'&gt;{{$m-&gt;$r[0]}}&lt;/spam&gt;</t>
  </si>
  <si>
    <t xml:space="preserve">            &lt;/spam&gt;</t>
  </si>
  <si>
    <t>input type</t>
  </si>
  <si>
    <t xml:space="preserve">    var id=$(this).attr('id');</t>
  </si>
  <si>
    <t>//insert functions here</t>
  </si>
  <si>
    <t xml:space="preserve">        $(this).hide();</t>
  </si>
  <si>
    <t xml:space="preserve">        &lt;/spam&gt;</t>
  </si>
  <si>
    <t xml:space="preserve">        var base=$('#base').html();</t>
  </si>
  <si>
    <t xml:space="preserve">                 Add select list options here</t>
  </si>
  <si>
    <t>1 to 10</t>
  </si>
  <si>
    <t>11 to 20</t>
  </si>
  <si>
    <t xml:space="preserve">        });</t>
  </si>
  <si>
    <t xml:space="preserve">            if(d==1) {location.reload();}</t>
  </si>
  <si>
    <t>controller</t>
  </si>
  <si>
    <t xml:space="preserve">        $id=$_POST['id'];</t>
  </si>
  <si>
    <t xml:space="preserve">        $u=array(</t>
  </si>
  <si>
    <t xml:space="preserve">        );</t>
  </si>
  <si>
    <t xml:space="preserve">        return 1;</t>
  </si>
  <si>
    <t>Simple - editable- data retrieval</t>
  </si>
  <si>
    <t xml:space="preserve">            Sure to delete?</t>
  </si>
  <si>
    <t>MODAL GENERATOR VERSION 2</t>
  </si>
  <si>
    <t>saferhealth</t>
  </si>
  <si>
    <t>STATIC PROGRAMMING RULES (IF ALREADY AUTOMATED DELETE THEM)</t>
  </si>
  <si>
    <t>Do not delete this rule: started as laravel dies as laravel NEVER CHANGE UNLESS STRICTLY NECESSARY</t>
  </si>
  <si>
    <t>Comment as if you were going to resume project in about three years.</t>
  </si>
  <si>
    <t>The chieff designer is the uncouncious user's behavior.</t>
  </si>
  <si>
    <t>Give user as less choices as possible.  The only option should be what he needs to do.</t>
  </si>
  <si>
    <t xml:space="preserve">  Think about the google search bar.  There is nothing else to do.</t>
  </si>
  <si>
    <t>Do one thing at a time.  Discard all projects that are moving you away from the goal.</t>
  </si>
  <si>
    <t>DB queries belong to the Model files.</t>
  </si>
  <si>
    <t>Reuse as much as possible (own and others' code).</t>
  </si>
  <si>
    <t>Bug free code is more important than clean code.</t>
  </si>
  <si>
    <t>All icons as svg files.</t>
  </si>
  <si>
    <t>* 1</t>
  </si>
  <si>
    <t>* 2</t>
  </si>
  <si>
    <t>* 3</t>
  </si>
  <si>
    <t>* 4</t>
  </si>
  <si>
    <t>* 5</t>
  </si>
  <si>
    <t>* 6</t>
  </si>
  <si>
    <t>* 7</t>
  </si>
  <si>
    <t>* 8</t>
  </si>
  <si>
    <t>eachid</t>
  </si>
  <si>
    <t>each loop replication</t>
  </si>
  <si>
    <t>$('.someclass').each(function(){var id= …});</t>
  </si>
  <si>
    <t>--</t>
  </si>
  <si>
    <t>Laravel comment</t>
  </si>
  <si>
    <t>{{--  --}}</t>
  </si>
  <si>
    <t>path</t>
  </si>
  <si>
    <t>C:\Users\mariaadelaida\Desktop\"laravel projects"\</t>
  </si>
  <si>
    <t>* 9</t>
  </si>
  <si>
    <t>Request feedback only after fixing issues you found as natural user.</t>
  </si>
  <si>
    <t>drawer</t>
  </si>
  <si>
    <t>hide / show div</t>
  </si>
  <si>
    <t>predefined function "drawer_section(section)" .</t>
  </si>
  <si>
    <t>As many projects are timewasting activities,  here will be consigned some criteria for quiting from purposeless and useless projects and / or tasks</t>
  </si>
  <si>
    <t>IS IT HARD TO BE BETTER THAN OVERALL COMPETITORS?</t>
  </si>
  <si>
    <t>IS PROJECT GENERATING RESOURCES (TIME, SKILLS, MONEY, FOOD).</t>
  </si>
  <si>
    <t>BETA VERSION!!!</t>
  </si>
  <si>
    <t>att</t>
  </si>
  <si>
    <t>attributes</t>
  </si>
  <si>
    <t>$('#some_id').attr('someattribute');</t>
  </si>
  <si>
    <t>Main principle: HUMAN REACTIONS ARE MAINLY BECAUSE THEY ARE SPIRITS BEFORE BRAINS BEFORE BODIES</t>
  </si>
  <si>
    <t>Instinct</t>
  </si>
  <si>
    <t>Emotion</t>
  </si>
  <si>
    <t>Rationale</t>
  </si>
  <si>
    <t>Spirit</t>
  </si>
  <si>
    <t>Program for instinct</t>
  </si>
  <si>
    <t>Fidelize with rationale</t>
  </si>
  <si>
    <t>Self centered</t>
  </si>
  <si>
    <t>Contrast</t>
  </si>
  <si>
    <t>Tangible</t>
  </si>
  <si>
    <t>Beginning and end</t>
  </si>
  <si>
    <t>Visual</t>
  </si>
  <si>
    <t>Diagnose the pain and fears</t>
  </si>
  <si>
    <t>Differentiate your claims</t>
  </si>
  <si>
    <t>Demonstrate the gains</t>
  </si>
  <si>
    <t>Deliver to the reptilian brain</t>
  </si>
  <si>
    <t>Team management</t>
  </si>
  <si>
    <t>$coordinator=</t>
  </si>
  <si>
    <t>$mssgdata=compact(</t>
  </si>
  <si>
    <t>Already existing project</t>
  </si>
  <si>
    <t>Project score</t>
  </si>
  <si>
    <t>enter</t>
  </si>
  <si>
    <t>enter key trigger</t>
  </si>
  <si>
    <t>$('#some_id').keyup(function(e)  {…})</t>
  </si>
  <si>
    <t>zero</t>
  </si>
  <si>
    <t>js / php zero div rule</t>
  </si>
  <si>
    <t>c4project</t>
  </si>
  <si>
    <t>a_transfercoordination</t>
  </si>
  <si>
    <t xml:space="preserve">test url </t>
  </si>
  <si>
    <t>$email=</t>
  </si>
  <si>
    <t>leavingproject</t>
  </si>
  <si>
    <t>$user=</t>
  </si>
  <si>
    <t>$taskingeasy= no_reply@taskingeasy.com;</t>
  </si>
  <si>
    <t>$subject='Collaborator left project';</t>
  </si>
  <si>
    <t>mssgs</t>
  </si>
  <si>
    <t>bottleneck</t>
  </si>
  <si>
    <t>taskdiscussions</t>
  </si>
  <si>
    <t>directed_to</t>
  </si>
  <si>
    <t>descr</t>
  </si>
  <si>
    <t>thetask_id</t>
  </si>
  <si>
    <t>originated_from</t>
  </si>
  <si>
    <t>datepicker bug fixed</t>
  </si>
  <si>
    <t>facturasalud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</si>
</sst>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D2A0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642D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4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5" borderId="0" xfId="0" applyFont="1" applyFill="1"/>
    <xf numFmtId="0" fontId="5" fillId="5" borderId="0" xfId="0" quotePrefix="1" applyFont="1" applyFill="1"/>
    <xf numFmtId="0" fontId="6" fillId="3" borderId="0" xfId="0" applyFont="1" applyFill="1"/>
    <xf numFmtId="0" fontId="7" fillId="3" borderId="0" xfId="0" applyFont="1" applyFill="1"/>
    <xf numFmtId="0" fontId="4" fillId="6" borderId="0" xfId="0" applyFont="1" applyFill="1"/>
    <xf numFmtId="0" fontId="2" fillId="6" borderId="0" xfId="0" applyFont="1" applyFill="1"/>
    <xf numFmtId="0" fontId="7" fillId="3" borderId="0" xfId="0" quotePrefix="1" applyFont="1" applyFill="1"/>
    <xf numFmtId="0" fontId="4" fillId="3" borderId="0" xfId="0" quotePrefix="1" applyFont="1" applyFill="1"/>
    <xf numFmtId="0" fontId="9" fillId="3" borderId="0" xfId="0" applyFont="1" applyFill="1"/>
    <xf numFmtId="0" fontId="4" fillId="2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3" fillId="2" borderId="0" xfId="0" applyFont="1" applyFill="1"/>
    <xf numFmtId="0" fontId="4" fillId="7" borderId="0" xfId="0" applyFont="1" applyFill="1"/>
    <xf numFmtId="0" fontId="7" fillId="2" borderId="0" xfId="0" applyFont="1" applyFill="1"/>
    <xf numFmtId="0" fontId="13" fillId="8" borderId="0" xfId="0" applyFont="1" applyFill="1"/>
    <xf numFmtId="0" fontId="11" fillId="8" borderId="0" xfId="0" applyFont="1" applyFill="1"/>
    <xf numFmtId="0" fontId="4" fillId="8" borderId="0" xfId="0" applyFont="1" applyFill="1"/>
    <xf numFmtId="0" fontId="3" fillId="9" borderId="0" xfId="0" applyFont="1" applyFill="1"/>
    <xf numFmtId="0" fontId="3" fillId="3" borderId="0" xfId="0" quotePrefix="1" applyFont="1" applyFill="1"/>
    <xf numFmtId="0" fontId="4" fillId="3" borderId="0" xfId="0" applyFont="1" applyFill="1" applyAlignment="1">
      <alignment horizontal="right"/>
    </xf>
    <xf numFmtId="0" fontId="7" fillId="2" borderId="0" xfId="0" quotePrefix="1" applyFont="1" applyFill="1"/>
    <xf numFmtId="0" fontId="8" fillId="2" borderId="0" xfId="0" quotePrefix="1" applyFont="1" applyFill="1"/>
    <xf numFmtId="0" fontId="14" fillId="3" borderId="0" xfId="0" applyFont="1" applyFill="1"/>
    <xf numFmtId="0" fontId="11" fillId="2" borderId="0" xfId="0" applyFont="1" applyFill="1"/>
    <xf numFmtId="0" fontId="7" fillId="7" borderId="0" xfId="0" applyFont="1" applyFill="1"/>
    <xf numFmtId="0" fontId="15" fillId="3" borderId="0" xfId="0" applyFont="1" applyFill="1" applyAlignment="1">
      <alignment horizontal="right"/>
    </xf>
    <xf numFmtId="0" fontId="16" fillId="6" borderId="0" xfId="0" applyFont="1" applyFill="1"/>
    <xf numFmtId="0" fontId="4" fillId="3" borderId="0" xfId="0" applyFont="1" applyFill="1" applyBorder="1"/>
    <xf numFmtId="0" fontId="19" fillId="3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6" borderId="0" xfId="0" applyFont="1" applyFill="1" applyBorder="1"/>
    <xf numFmtId="0" fontId="13" fillId="8" borderId="0" xfId="0" applyFont="1" applyFill="1" applyBorder="1"/>
    <xf numFmtId="0" fontId="20" fillId="8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4" fillId="12" borderId="0" xfId="0" applyFont="1" applyFill="1" applyBorder="1"/>
    <xf numFmtId="0" fontId="23" fillId="12" borderId="0" xfId="0" applyFont="1" applyFill="1" applyBorder="1"/>
    <xf numFmtId="0" fontId="24" fillId="12" borderId="0" xfId="0" applyFont="1" applyFill="1" applyBorder="1"/>
    <xf numFmtId="0" fontId="22" fillId="12" borderId="0" xfId="0" applyFont="1" applyFill="1" applyBorder="1"/>
    <xf numFmtId="0" fontId="3" fillId="2" borderId="0" xfId="0" quotePrefix="1" applyFont="1" applyFill="1"/>
    <xf numFmtId="0" fontId="7" fillId="6" borderId="0" xfId="0" applyFont="1" applyFill="1" applyBorder="1"/>
    <xf numFmtId="0" fontId="25" fillId="3" borderId="0" xfId="0" applyFont="1" applyFill="1"/>
    <xf numFmtId="0" fontId="26" fillId="2" borderId="0" xfId="0" applyFont="1" applyFill="1"/>
    <xf numFmtId="0" fontId="4" fillId="8" borderId="0" xfId="0" applyFont="1" applyFill="1" applyBorder="1"/>
    <xf numFmtId="0" fontId="12" fillId="13" borderId="0" xfId="1" applyFill="1"/>
    <xf numFmtId="0" fontId="11" fillId="13" borderId="0" xfId="0" applyFont="1" applyFill="1"/>
    <xf numFmtId="0" fontId="10" fillId="13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0" fontId="11" fillId="14" borderId="0" xfId="0" applyFont="1" applyFill="1"/>
    <xf numFmtId="0" fontId="25" fillId="3" borderId="0" xfId="0" quotePrefix="1" applyFont="1" applyFill="1"/>
    <xf numFmtId="0" fontId="28" fillId="3" borderId="0" xfId="0" applyFont="1" applyFill="1"/>
    <xf numFmtId="0" fontId="1" fillId="7" borderId="0" xfId="0" applyFont="1" applyFill="1"/>
    <xf numFmtId="0" fontId="1" fillId="7" borderId="0" xfId="0" quotePrefix="1" applyFont="1" applyFill="1"/>
    <xf numFmtId="0" fontId="1" fillId="7" borderId="0" xfId="0" quotePrefix="1" applyFont="1" applyFill="1" applyBorder="1"/>
    <xf numFmtId="0" fontId="4" fillId="7" borderId="0" xfId="0" applyFont="1" applyFill="1" applyBorder="1"/>
    <xf numFmtId="0" fontId="4" fillId="15" borderId="0" xfId="0" applyFont="1" applyFill="1"/>
    <xf numFmtId="0" fontId="25" fillId="12" borderId="0" xfId="0" applyFont="1" applyFill="1"/>
    <xf numFmtId="0" fontId="4" fillId="12" borderId="0" xfId="0" applyFont="1" applyFill="1" applyAlignment="1">
      <alignment horizontal="right"/>
    </xf>
    <xf numFmtId="0" fontId="30" fillId="2" borderId="0" xfId="0" applyFont="1" applyFill="1"/>
    <xf numFmtId="0" fontId="4" fillId="2" borderId="0" xfId="0" quotePrefix="1" applyFont="1" applyFill="1"/>
    <xf numFmtId="0" fontId="4" fillId="2" borderId="0" xfId="0" applyFont="1" applyFill="1" applyProtection="1">
      <protection locked="0"/>
    </xf>
    <xf numFmtId="0" fontId="4" fillId="2" borderId="0" xfId="0" applyFont="1" applyFill="1" applyBorder="1"/>
    <xf numFmtId="0" fontId="31" fillId="11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31" fillId="19" borderId="0" xfId="0" applyFont="1" applyFill="1"/>
    <xf numFmtId="0" fontId="7" fillId="15" borderId="0" xfId="0" applyFont="1" applyFill="1"/>
    <xf numFmtId="0" fontId="4" fillId="20" borderId="0" xfId="0" applyFont="1" applyFill="1"/>
    <xf numFmtId="0" fontId="30" fillId="2" borderId="0" xfId="0" quotePrefix="1" applyFont="1" applyFill="1"/>
    <xf numFmtId="0" fontId="25" fillId="2" borderId="0" xfId="0" quotePrefix="1" applyFont="1" applyFill="1"/>
    <xf numFmtId="0" fontId="4" fillId="21" borderId="0" xfId="0" applyFont="1" applyFill="1"/>
    <xf numFmtId="0" fontId="4" fillId="22" borderId="0" xfId="0" applyFont="1" applyFill="1"/>
    <xf numFmtId="0" fontId="32" fillId="2" borderId="0" xfId="0" applyFont="1" applyFill="1"/>
    <xf numFmtId="0" fontId="4" fillId="23" borderId="0" xfId="0" applyFont="1" applyFill="1"/>
    <xf numFmtId="0" fontId="11" fillId="1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7" borderId="0" xfId="0" applyFont="1" applyFill="1" applyProtection="1">
      <protection locked="0"/>
    </xf>
    <xf numFmtId="0" fontId="4" fillId="4" borderId="0" xfId="0" applyFont="1" applyFill="1" applyProtection="1">
      <protection locked="0"/>
    </xf>
    <xf numFmtId="0" fontId="1" fillId="2" borderId="0" xfId="0" applyFont="1" applyFill="1"/>
    <xf numFmtId="0" fontId="17" fillId="3" borderId="0" xfId="1" applyFont="1" applyFill="1" applyAlignment="1"/>
    <xf numFmtId="0" fontId="0" fillId="0" borderId="0" xfId="0" applyAlignment="1"/>
    <xf numFmtId="0" fontId="18" fillId="3" borderId="0" xfId="1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4D2A03"/>
      <color rgb="FF3B0731"/>
      <color rgb="FF660066"/>
      <color rgb="FF122D46"/>
      <color rgb="FF00FF00"/>
      <color rgb="FF08233A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amChartsv1!A1"/><Relationship Id="rId18" Type="http://schemas.openxmlformats.org/officeDocument/2006/relationships/image" Target="../media/image9.png"/><Relationship Id="rId3" Type="http://schemas.openxmlformats.org/officeDocument/2006/relationships/hyperlink" Target="#'ST2 snippets'!A1"/><Relationship Id="rId21" Type="http://schemas.openxmlformats.org/officeDocument/2006/relationships/image" Target="../media/image11.png"/><Relationship Id="rId7" Type="http://schemas.openxmlformats.org/officeDocument/2006/relationships/hyperlink" Target="#Modal!A1"/><Relationship Id="rId12" Type="http://schemas.openxmlformats.org/officeDocument/2006/relationships/image" Target="../media/image6.png"/><Relationship Id="rId17" Type="http://schemas.openxmlformats.org/officeDocument/2006/relationships/hyperlink" Target="#'Laravel mail v1'!A1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11" Type="http://schemas.openxmlformats.org/officeDocument/2006/relationships/hyperlink" Target="#CRUD!A1"/><Relationship Id="rId5" Type="http://schemas.openxmlformats.org/officeDocument/2006/relationships/hyperlink" Target="#'tables and models'!A1"/><Relationship Id="rId15" Type="http://schemas.openxmlformats.org/officeDocument/2006/relationships/hyperlink" Target="#'view controllers'!A1"/><Relationship Id="rId10" Type="http://schemas.openxmlformats.org/officeDocument/2006/relationships/image" Target="../media/image5.png"/><Relationship Id="rId19" Type="http://schemas.openxmlformats.org/officeDocument/2006/relationships/hyperlink" Target="#'cleaning protocol'!A1"/><Relationship Id="rId4" Type="http://schemas.openxmlformats.org/officeDocument/2006/relationships/image" Target="../media/image2.png"/><Relationship Id="rId9" Type="http://schemas.openxmlformats.org/officeDocument/2006/relationships/hyperlink" Target="#csv!A1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4</xdr:col>
      <xdr:colOff>654899</xdr:colOff>
      <xdr:row>8</xdr:row>
      <xdr:rowOff>28576</xdr:rowOff>
    </xdr:from>
    <xdr:to>
      <xdr:col>6</xdr:col>
      <xdr:colOff>428024</xdr:colOff>
      <xdr:row>9</xdr:row>
      <xdr:rowOff>142876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60049" y="155257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4</xdr:col>
      <xdr:colOff>628650</xdr:colOff>
      <xdr:row>20</xdr:row>
      <xdr:rowOff>76200</xdr:rowOff>
    </xdr:from>
    <xdr:to>
      <xdr:col>6</xdr:col>
      <xdr:colOff>342100</xdr:colOff>
      <xdr:row>22</xdr:row>
      <xdr:rowOff>38100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733800" y="388620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447674</xdr:colOff>
      <xdr:row>11</xdr:row>
      <xdr:rowOff>123824</xdr:rowOff>
    </xdr:from>
    <xdr:to>
      <xdr:col>2</xdr:col>
      <xdr:colOff>451205</xdr:colOff>
      <xdr:row>13</xdr:row>
      <xdr:rowOff>95249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447674" y="22193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428625</xdr:colOff>
      <xdr:row>17</xdr:row>
      <xdr:rowOff>161925</xdr:rowOff>
    </xdr:from>
    <xdr:to>
      <xdr:col>3</xdr:col>
      <xdr:colOff>99707</xdr:colOff>
      <xdr:row>19</xdr:row>
      <xdr:rowOff>114300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28625" y="3400425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619123</xdr:colOff>
      <xdr:row>12</xdr:row>
      <xdr:rowOff>123826</xdr:rowOff>
    </xdr:from>
    <xdr:to>
      <xdr:col>7</xdr:col>
      <xdr:colOff>131222</xdr:colOff>
      <xdr:row>14</xdr:row>
      <xdr:rowOff>161925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724273" y="2409826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  <xdr:twoCellAnchor>
    <xdr:from>
      <xdr:col>0</xdr:col>
      <xdr:colOff>381000</xdr:colOff>
      <xdr:row>14</xdr:row>
      <xdr:rowOff>57150</xdr:rowOff>
    </xdr:from>
    <xdr:to>
      <xdr:col>2</xdr:col>
      <xdr:colOff>129818</xdr:colOff>
      <xdr:row>16</xdr:row>
      <xdr:rowOff>142875</xdr:rowOff>
    </xdr:to>
    <xdr:grpSp>
      <xdr:nvGrpSpPr>
        <xdr:cNvPr id="26" name="Grupo 25">
          <a:hlinkClick xmlns:r="http://schemas.openxmlformats.org/officeDocument/2006/relationships" r:id="rId11"/>
        </xdr:cNvPr>
        <xdr:cNvGrpSpPr/>
      </xdr:nvGrpSpPr>
      <xdr:grpSpPr>
        <a:xfrm>
          <a:off x="381000" y="2724150"/>
          <a:ext cx="1291868" cy="466725"/>
          <a:chOff x="3886200" y="2857500"/>
          <a:chExt cx="1291868" cy="466725"/>
        </a:xfrm>
      </xdr:grpSpPr>
      <xdr:pic>
        <xdr:nvPicPr>
          <xdr:cNvPr id="24" name="Imagen 23" descr="http://upload.wikimedia.org/wikipedia/mediawiki/4/49/WikiDB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6200" y="2857500"/>
            <a:ext cx="466725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CuadroTexto 24"/>
          <xdr:cNvSpPr txBox="1"/>
        </xdr:nvSpPr>
        <xdr:spPr>
          <a:xfrm>
            <a:off x="4295775" y="2933700"/>
            <a:ext cx="882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HTML CRUD</a:t>
            </a:r>
          </a:p>
        </xdr:txBody>
      </xdr:sp>
    </xdr:grpSp>
    <xdr:clientData/>
  </xdr:twoCellAnchor>
  <xdr:twoCellAnchor>
    <xdr:from>
      <xdr:col>4</xdr:col>
      <xdr:colOff>647701</xdr:colOff>
      <xdr:row>16</xdr:row>
      <xdr:rowOff>57151</xdr:rowOff>
    </xdr:from>
    <xdr:to>
      <xdr:col>6</xdr:col>
      <xdr:colOff>95965</xdr:colOff>
      <xdr:row>18</xdr:row>
      <xdr:rowOff>95251</xdr:rowOff>
    </xdr:to>
    <xdr:grpSp>
      <xdr:nvGrpSpPr>
        <xdr:cNvPr id="30" name="Grupo 29">
          <a:hlinkClick xmlns:r="http://schemas.openxmlformats.org/officeDocument/2006/relationships" r:id="rId13"/>
        </xdr:cNvPr>
        <xdr:cNvGrpSpPr/>
      </xdr:nvGrpSpPr>
      <xdr:grpSpPr>
        <a:xfrm>
          <a:off x="3752851" y="3105151"/>
          <a:ext cx="991314" cy="419100"/>
          <a:chOff x="3543301" y="3095626"/>
          <a:chExt cx="991314" cy="419100"/>
        </a:xfrm>
      </xdr:grpSpPr>
      <xdr:pic>
        <xdr:nvPicPr>
          <xdr:cNvPr id="29" name="Imagen 28" descr="https://cdn1.iconfinder.com/data/icons/finance_icons/PNG/png256/bar_char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43301" y="3095626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uadroTexto 22"/>
          <xdr:cNvSpPr txBox="1"/>
        </xdr:nvSpPr>
        <xdr:spPr>
          <a:xfrm>
            <a:off x="3981450" y="3190875"/>
            <a:ext cx="5531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Charts</a:t>
            </a:r>
          </a:p>
        </xdr:txBody>
      </xdr:sp>
    </xdr:grpSp>
    <xdr:clientData/>
  </xdr:twoCellAnchor>
  <xdr:twoCellAnchor>
    <xdr:from>
      <xdr:col>0</xdr:col>
      <xdr:colOff>361950</xdr:colOff>
      <xdr:row>7</xdr:row>
      <xdr:rowOff>171450</xdr:rowOff>
    </xdr:from>
    <xdr:to>
      <xdr:col>3</xdr:col>
      <xdr:colOff>370413</xdr:colOff>
      <xdr:row>10</xdr:row>
      <xdr:rowOff>57150</xdr:rowOff>
    </xdr:to>
    <xdr:grpSp>
      <xdr:nvGrpSpPr>
        <xdr:cNvPr id="28" name="Grupo 27">
          <a:hlinkClick xmlns:r="http://schemas.openxmlformats.org/officeDocument/2006/relationships" r:id="rId15"/>
        </xdr:cNvPr>
        <xdr:cNvGrpSpPr/>
      </xdr:nvGrpSpPr>
      <xdr:grpSpPr>
        <a:xfrm>
          <a:off x="361950" y="1504950"/>
          <a:ext cx="2332563" cy="457200"/>
          <a:chOff x="6562725" y="2362200"/>
          <a:chExt cx="2332563" cy="457200"/>
        </a:xfrm>
      </xdr:grpSpPr>
      <xdr:pic>
        <xdr:nvPicPr>
          <xdr:cNvPr id="31" name="Imagen 30" descr="http://icons.iconarchive.com/icons/tpdkdesign.net/refresh-cl/256/Windows-View-Detail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62725" y="2362200"/>
            <a:ext cx="4572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uadroTexto 26"/>
          <xdr:cNvSpPr txBox="1"/>
        </xdr:nvSpPr>
        <xdr:spPr>
          <a:xfrm>
            <a:off x="7048500" y="2447925"/>
            <a:ext cx="1846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Views &amp; controller generator</a:t>
            </a:r>
          </a:p>
        </xdr:txBody>
      </xdr:sp>
    </xdr:grpSp>
    <xdr:clientData/>
  </xdr:twoCellAnchor>
  <xdr:twoCellAnchor>
    <xdr:from>
      <xdr:col>0</xdr:col>
      <xdr:colOff>371475</xdr:colOff>
      <xdr:row>21</xdr:row>
      <xdr:rowOff>66675</xdr:rowOff>
    </xdr:from>
    <xdr:to>
      <xdr:col>2</xdr:col>
      <xdr:colOff>129055</xdr:colOff>
      <xdr:row>23</xdr:row>
      <xdr:rowOff>171450</xdr:rowOff>
    </xdr:to>
    <xdr:grpSp>
      <xdr:nvGrpSpPr>
        <xdr:cNvPr id="34" name="Grupo 33">
          <a:hlinkClick xmlns:r="http://schemas.openxmlformats.org/officeDocument/2006/relationships" r:id="rId17"/>
        </xdr:cNvPr>
        <xdr:cNvGrpSpPr/>
      </xdr:nvGrpSpPr>
      <xdr:grpSpPr>
        <a:xfrm>
          <a:off x="371475" y="4067175"/>
          <a:ext cx="1300630" cy="485775"/>
          <a:chOff x="6372225" y="2476500"/>
          <a:chExt cx="1300630" cy="485775"/>
        </a:xfrm>
      </xdr:grpSpPr>
      <xdr:pic>
        <xdr:nvPicPr>
          <xdr:cNvPr id="32" name="Imagen 31" descr="http://hubsacademy.com/wp-content/uploads/2012/02/mail-webtreatsetc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2225" y="2476500"/>
            <a:ext cx="485775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CuadroTexto 32"/>
          <xdr:cNvSpPr txBox="1"/>
        </xdr:nvSpPr>
        <xdr:spPr>
          <a:xfrm>
            <a:off x="6810375" y="2562225"/>
            <a:ext cx="8624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Mail</a:t>
            </a:r>
            <a:r>
              <a:rPr lang="es-ES" sz="1100" baseline="0"/>
              <a:t> sender</a:t>
            </a:r>
            <a:endParaRPr lang="es-ES" sz="1100"/>
          </a:p>
        </xdr:txBody>
      </xdr:sp>
    </xdr:grpSp>
    <xdr:clientData/>
  </xdr:twoCellAnchor>
  <xdr:twoCellAnchor>
    <xdr:from>
      <xdr:col>4</xdr:col>
      <xdr:colOff>626016</xdr:colOff>
      <xdr:row>23</xdr:row>
      <xdr:rowOff>180975</xdr:rowOff>
    </xdr:from>
    <xdr:to>
      <xdr:col>6</xdr:col>
      <xdr:colOff>575561</xdr:colOff>
      <xdr:row>26</xdr:row>
      <xdr:rowOff>19050</xdr:rowOff>
    </xdr:to>
    <xdr:grpSp>
      <xdr:nvGrpSpPr>
        <xdr:cNvPr id="7" name="Grupo 6">
          <a:hlinkClick xmlns:r="http://schemas.openxmlformats.org/officeDocument/2006/relationships" r:id="rId19"/>
        </xdr:cNvPr>
        <xdr:cNvGrpSpPr/>
      </xdr:nvGrpSpPr>
      <xdr:grpSpPr>
        <a:xfrm>
          <a:off x="3731166" y="4562475"/>
          <a:ext cx="1492595" cy="409575"/>
          <a:chOff x="3731166" y="4562475"/>
          <a:chExt cx="1492595" cy="409575"/>
        </a:xfrm>
      </xdr:grpSpPr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31166" y="4562475"/>
            <a:ext cx="392146" cy="409575"/>
          </a:xfrm>
          <a:prstGeom prst="rect">
            <a:avLst/>
          </a:prstGeom>
        </xdr:spPr>
      </xdr:pic>
      <xdr:sp macro="" textlink="">
        <xdr:nvSpPr>
          <xdr:cNvPr id="5" name="CuadroTexto 4"/>
          <xdr:cNvSpPr txBox="1"/>
        </xdr:nvSpPr>
        <xdr:spPr>
          <a:xfrm>
            <a:off x="4029075" y="4619625"/>
            <a:ext cx="11946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Cleaning protocol</a:t>
            </a:r>
          </a:p>
        </xdr:txBody>
      </xdr:sp>
    </xdr:grpSp>
    <xdr:clientData/>
  </xdr:twoCellAnchor>
  <xdr:twoCellAnchor>
    <xdr:from>
      <xdr:col>0</xdr:col>
      <xdr:colOff>428624</xdr:colOff>
      <xdr:row>25</xdr:row>
      <xdr:rowOff>100101</xdr:rowOff>
    </xdr:from>
    <xdr:to>
      <xdr:col>2</xdr:col>
      <xdr:colOff>675034</xdr:colOff>
      <xdr:row>28</xdr:row>
      <xdr:rowOff>76200</xdr:rowOff>
    </xdr:to>
    <xdr:grpSp>
      <xdr:nvGrpSpPr>
        <xdr:cNvPr id="37" name="Grupo 36"/>
        <xdr:cNvGrpSpPr/>
      </xdr:nvGrpSpPr>
      <xdr:grpSpPr>
        <a:xfrm>
          <a:off x="428624" y="4862601"/>
          <a:ext cx="1789460" cy="547599"/>
          <a:chOff x="428624" y="4862601"/>
          <a:chExt cx="1789460" cy="547599"/>
        </a:xfrm>
      </xdr:grpSpPr>
      <xdr:pic>
        <xdr:nvPicPr>
          <xdr:cNvPr id="35" name="Imagen 34"/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4" y="4862601"/>
            <a:ext cx="518263" cy="547599"/>
          </a:xfrm>
          <a:prstGeom prst="rect">
            <a:avLst/>
          </a:prstGeom>
        </xdr:spPr>
      </xdr:pic>
      <xdr:sp macro="" textlink="">
        <xdr:nvSpPr>
          <xdr:cNvPr id="36" name="CuadroTexto 35"/>
          <xdr:cNvSpPr txBox="1"/>
        </xdr:nvSpPr>
        <xdr:spPr>
          <a:xfrm>
            <a:off x="895350" y="4953000"/>
            <a:ext cx="13227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Neuroprogramming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1692323" cy="311496"/>
    <xdr:sp macro="" textlink="">
      <xdr:nvSpPr>
        <xdr:cNvPr id="2" name="CuadroTexto 1"/>
        <xdr:cNvSpPr txBox="1"/>
      </xdr:nvSpPr>
      <xdr:spPr>
        <a:xfrm>
          <a:off x="724046" y="136071"/>
          <a:ext cx="1692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AmCharts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builder V1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59870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6</xdr:row>
      <xdr:rowOff>104775</xdr:rowOff>
    </xdr:from>
    <xdr:ext cx="1751633" cy="342786"/>
    <xdr:sp macro="" textlink="">
      <xdr:nvSpPr>
        <xdr:cNvPr id="11" name="CuadroTexto 10"/>
        <xdr:cNvSpPr txBox="1"/>
      </xdr:nvSpPr>
      <xdr:spPr>
        <a:xfrm>
          <a:off x="762000" y="104775"/>
          <a:ext cx="17516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View &amp; Controllers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11</xdr:col>
      <xdr:colOff>238125</xdr:colOff>
      <xdr:row>2</xdr:row>
      <xdr:rowOff>59870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2460032" cy="342786"/>
    <xdr:sp macro="" textlink="">
      <xdr:nvSpPr>
        <xdr:cNvPr id="6" name="CuadroTexto 5"/>
        <xdr:cNvSpPr txBox="1"/>
      </xdr:nvSpPr>
      <xdr:spPr>
        <a:xfrm>
          <a:off x="762000" y="104775"/>
          <a:ext cx="246003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Cleaning protocol version 1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123825</xdr:rowOff>
    </xdr:from>
    <xdr:ext cx="2093522" cy="311496"/>
    <xdr:sp macro="" textlink="">
      <xdr:nvSpPr>
        <xdr:cNvPr id="2" name="CuadroTexto 1"/>
        <xdr:cNvSpPr txBox="1"/>
      </xdr:nvSpPr>
      <xdr:spPr>
        <a:xfrm>
          <a:off x="676275" y="123825"/>
          <a:ext cx="20935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HTML table &amp; forms CRUD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0</xdr:row>
      <xdr:rowOff>171450</xdr:rowOff>
    </xdr:from>
    <xdr:to>
      <xdr:col>9</xdr:col>
      <xdr:colOff>390525</xdr:colOff>
      <xdr:row>2</xdr:row>
      <xdr:rowOff>40820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7010400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0</xdr:col>
      <xdr:colOff>654844</xdr:colOff>
      <xdr:row>8</xdr:row>
      <xdr:rowOff>166687</xdr:rowOff>
    </xdr:from>
    <xdr:ext cx="904607" cy="374141"/>
    <xdr:sp macro="" textlink="">
      <xdr:nvSpPr>
        <xdr:cNvPr id="7" name="CuadroTexto 6"/>
        <xdr:cNvSpPr txBox="1"/>
      </xdr:nvSpPr>
      <xdr:spPr>
        <a:xfrm>
          <a:off x="654844" y="1690687"/>
          <a:ext cx="9046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CREATE</a:t>
          </a:r>
        </a:p>
      </xdr:txBody>
    </xdr:sp>
    <xdr:clientData/>
  </xdr:oneCellAnchor>
  <xdr:oneCellAnchor>
    <xdr:from>
      <xdr:col>1</xdr:col>
      <xdr:colOff>0</xdr:colOff>
      <xdr:row>92</xdr:row>
      <xdr:rowOff>130968</xdr:rowOff>
    </xdr:from>
    <xdr:ext cx="2558457" cy="374141"/>
    <xdr:sp macro="" textlink="">
      <xdr:nvSpPr>
        <xdr:cNvPr id="8" name="CuadroTexto 7"/>
        <xdr:cNvSpPr txBox="1"/>
      </xdr:nvSpPr>
      <xdr:spPr>
        <a:xfrm>
          <a:off x="762000" y="17656968"/>
          <a:ext cx="255845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READ - UPDATE - DELETE 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5</xdr:row>
      <xdr:rowOff>136071</xdr:rowOff>
    </xdr:from>
    <xdr:ext cx="1425005" cy="311496"/>
    <xdr:sp macro="" textlink="">
      <xdr:nvSpPr>
        <xdr:cNvPr id="7" name="CuadroTexto 6"/>
        <xdr:cNvSpPr txBox="1"/>
      </xdr:nvSpPr>
      <xdr:spPr>
        <a:xfrm>
          <a:off x="724046" y="136071"/>
          <a:ext cx="142500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Modal builder v2</a:t>
          </a:r>
        </a:p>
      </xdr:txBody>
    </xdr:sp>
    <xdr:clientData/>
  </xdr:oneCellAnchor>
  <xdr:twoCellAnchor>
    <xdr:from>
      <xdr:col>10</xdr:col>
      <xdr:colOff>495300</xdr:colOff>
      <xdr:row>5</xdr:row>
      <xdr:rowOff>171451</xdr:rowOff>
    </xdr:from>
    <xdr:to>
      <xdr:col>10</xdr:col>
      <xdr:colOff>733425</xdr:colOff>
      <xdr:row>7</xdr:row>
      <xdr:rowOff>47625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20"/>
  <sheetViews>
    <sheetView tabSelected="1" zoomScaleNormal="100" workbookViewId="0"/>
  </sheetViews>
  <sheetFormatPr baseColWidth="10" defaultColWidth="11.42578125" defaultRowHeight="15" x14ac:dyDescent="0.25"/>
  <cols>
    <col min="1" max="1" width="11.42578125" style="57"/>
    <col min="2" max="5" width="11.7109375" style="57" customWidth="1"/>
    <col min="6" max="16384" width="11.42578125" style="57"/>
  </cols>
  <sheetData>
    <row r="1" spans="2:9" s="61" customFormat="1" x14ac:dyDescent="0.25"/>
    <row r="2" spans="2:9" s="61" customFormat="1" x14ac:dyDescent="0.25"/>
    <row r="3" spans="2:9" s="61" customFormat="1" x14ac:dyDescent="0.25"/>
    <row r="4" spans="2:9" s="61" customFormat="1" x14ac:dyDescent="0.25"/>
    <row r="5" spans="2:9" s="61" customFormat="1" x14ac:dyDescent="0.25"/>
    <row r="7" spans="2:9" x14ac:dyDescent="0.25">
      <c r="B7" s="56" t="s">
        <v>181</v>
      </c>
    </row>
    <row r="8" spans="2:9" x14ac:dyDescent="0.25">
      <c r="I8" s="57" t="s">
        <v>460</v>
      </c>
    </row>
    <row r="9" spans="2:9" x14ac:dyDescent="0.25">
      <c r="I9" s="58" t="s">
        <v>461</v>
      </c>
    </row>
    <row r="11" spans="2:9" x14ac:dyDescent="0.25">
      <c r="H11" s="89" t="s">
        <v>471</v>
      </c>
      <c r="I11" s="57" t="s">
        <v>468</v>
      </c>
    </row>
    <row r="12" spans="2:9" x14ac:dyDescent="0.25">
      <c r="H12" s="89" t="s">
        <v>472</v>
      </c>
      <c r="I12" s="57" t="s">
        <v>462</v>
      </c>
    </row>
    <row r="13" spans="2:9" x14ac:dyDescent="0.25">
      <c r="H13" s="89" t="s">
        <v>473</v>
      </c>
      <c r="I13" s="57" t="s">
        <v>463</v>
      </c>
    </row>
    <row r="14" spans="2:9" x14ac:dyDescent="0.25">
      <c r="B14" s="56"/>
      <c r="H14" s="89" t="s">
        <v>474</v>
      </c>
      <c r="I14" s="57" t="s">
        <v>464</v>
      </c>
    </row>
    <row r="15" spans="2:9" x14ac:dyDescent="0.25">
      <c r="B15" s="56"/>
      <c r="I15" s="57" t="s">
        <v>465</v>
      </c>
    </row>
    <row r="16" spans="2:9" x14ac:dyDescent="0.25">
      <c r="B16" s="56"/>
      <c r="H16" s="89" t="s">
        <v>475</v>
      </c>
      <c r="I16" s="57" t="s">
        <v>469</v>
      </c>
    </row>
    <row r="17" spans="2:9" x14ac:dyDescent="0.25">
      <c r="B17" s="56"/>
      <c r="H17" s="89" t="s">
        <v>476</v>
      </c>
      <c r="I17" s="57" t="s">
        <v>466</v>
      </c>
    </row>
    <row r="18" spans="2:9" x14ac:dyDescent="0.25">
      <c r="H18" s="89" t="s">
        <v>477</v>
      </c>
      <c r="I18" s="57" t="s">
        <v>467</v>
      </c>
    </row>
    <row r="19" spans="2:9" x14ac:dyDescent="0.25">
      <c r="H19" s="89" t="s">
        <v>478</v>
      </c>
      <c r="I19" s="57" t="s">
        <v>470</v>
      </c>
    </row>
    <row r="20" spans="2:9" x14ac:dyDescent="0.25">
      <c r="H20" s="89" t="s">
        <v>487</v>
      </c>
      <c r="I20" s="57" t="s">
        <v>488</v>
      </c>
    </row>
  </sheetData>
  <hyperlinks>
    <hyperlink ref="B7" location="'Start project'!A1" display="Start a projec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43"/>
  <sheetViews>
    <sheetView topLeftCell="A6" zoomScaleNormal="100" workbookViewId="0">
      <pane ySplit="3" topLeftCell="A9" activePane="bottomLeft" state="frozen"/>
      <selection activeCell="A6" sqref="A6"/>
      <selection pane="bottomLeft" activeCell="D37" sqref="D37"/>
    </sheetView>
  </sheetViews>
  <sheetFormatPr baseColWidth="10" defaultColWidth="11.42578125" defaultRowHeight="15" x14ac:dyDescent="0.25"/>
  <cols>
    <col min="1" max="16384" width="11.42578125" style="2"/>
  </cols>
  <sheetData>
    <row r="1" spans="1:8" s="14" customFormat="1" hidden="1" x14ac:dyDescent="0.25">
      <c r="A1" s="14" t="s">
        <v>156</v>
      </c>
    </row>
    <row r="2" spans="1:8" s="14" customFormat="1" hidden="1" x14ac:dyDescent="0.25">
      <c r="A2" s="15" t="s">
        <v>160</v>
      </c>
    </row>
    <row r="3" spans="1:8" s="14" customFormat="1" hidden="1" x14ac:dyDescent="0.25">
      <c r="A3" s="15" t="s">
        <v>48</v>
      </c>
    </row>
    <row r="4" spans="1:8" s="14" customFormat="1" hidden="1" x14ac:dyDescent="0.25">
      <c r="A4" s="15"/>
    </row>
    <row r="5" spans="1:8" s="14" customFormat="1" hidden="1" x14ac:dyDescent="0.25">
      <c r="A5" s="15"/>
    </row>
    <row r="6" spans="1:8" s="13" customFormat="1" x14ac:dyDescent="0.25"/>
    <row r="7" spans="1:8" s="13" customFormat="1" x14ac:dyDescent="0.25"/>
    <row r="8" spans="1:8" s="13" customFormat="1" x14ac:dyDescent="0.25"/>
    <row r="9" spans="1:8" x14ac:dyDescent="0.25">
      <c r="B9" s="27" t="s">
        <v>458</v>
      </c>
    </row>
    <row r="10" spans="1:8" x14ac:dyDescent="0.25">
      <c r="B10" s="2" t="s">
        <v>157</v>
      </c>
    </row>
    <row r="11" spans="1:8" x14ac:dyDescent="0.25">
      <c r="B11" s="2" t="s">
        <v>158</v>
      </c>
      <c r="E11" s="28" t="str">
        <f>'view controllers'!D35</f>
        <v>mssgs</v>
      </c>
      <c r="G11" s="17" t="s">
        <v>525</v>
      </c>
      <c r="H11" s="17"/>
    </row>
    <row r="12" spans="1:8" x14ac:dyDescent="0.25">
      <c r="B12" s="2" t="s">
        <v>159</v>
      </c>
      <c r="E12" s="17" t="s">
        <v>526</v>
      </c>
    </row>
    <row r="13" spans="1:8" x14ac:dyDescent="0.25">
      <c r="B13" s="9" t="s">
        <v>62</v>
      </c>
      <c r="C13" s="8" t="str">
        <f>"php artisan generate:view --path="&amp;A3&amp;"app/views/"&amp;G11&amp;A3&amp;" modal_"&amp;E12</f>
        <v>php artisan generate:view --path="app/views/c4project" modal_a_transfercoordination</v>
      </c>
      <c r="D13" s="8"/>
      <c r="E13" s="8"/>
      <c r="F13" s="8"/>
      <c r="G13" s="8"/>
      <c r="H13" s="3"/>
    </row>
    <row r="14" spans="1:8" x14ac:dyDescent="0.25">
      <c r="B14" s="2" t="s">
        <v>162</v>
      </c>
      <c r="E14" s="17" t="s">
        <v>519</v>
      </c>
      <c r="F14" s="17"/>
      <c r="G14" s="17"/>
    </row>
    <row r="15" spans="1:8" x14ac:dyDescent="0.25">
      <c r="B15" s="3" t="s">
        <v>155</v>
      </c>
      <c r="C15" s="3" t="str">
        <f>"modal_"&amp;E12</f>
        <v>modal_a_transfercoordination</v>
      </c>
    </row>
    <row r="17" spans="2:11" x14ac:dyDescent="0.25">
      <c r="B17" s="18" t="str">
        <f>A1&amp;C15&amp;A2</f>
        <v>&lt;div id='modal_a_transfercoordination' class="modal hide fade" tabindex="-1" role="dialog" aria-labelledby="myModalLabel" aria-hidden="true"&gt;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25">
      <c r="B18" s="18" t="s">
        <v>164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25">
      <c r="B19" s="18" t="s">
        <v>275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25">
      <c r="B20" s="18" t="s">
        <v>276</v>
      </c>
      <c r="C20" s="13"/>
      <c r="D20" s="13"/>
      <c r="E20" s="13"/>
      <c r="F20" s="13"/>
      <c r="G20" s="18"/>
      <c r="H20" s="13"/>
      <c r="I20" s="13"/>
      <c r="J20" s="13"/>
      <c r="K20" s="13"/>
    </row>
    <row r="21" spans="2:11" x14ac:dyDescent="0.25">
      <c r="B21" s="18" t="s">
        <v>277</v>
      </c>
      <c r="C21" s="13"/>
      <c r="D21" s="13"/>
      <c r="E21" s="13"/>
      <c r="F21" s="13"/>
      <c r="G21" s="18"/>
      <c r="H21" s="13"/>
      <c r="I21" s="13"/>
      <c r="J21" s="13"/>
      <c r="K21" s="13"/>
    </row>
    <row r="22" spans="2:11" x14ac:dyDescent="0.25">
      <c r="B22" s="18" t="s">
        <v>278</v>
      </c>
      <c r="C22" s="13"/>
      <c r="D22" s="13"/>
      <c r="E22" s="13"/>
      <c r="F22" s="13"/>
      <c r="G22" s="18"/>
      <c r="H22" s="13"/>
      <c r="I22" s="13"/>
      <c r="J22" s="13"/>
      <c r="K22" s="13"/>
    </row>
    <row r="23" spans="2:11" x14ac:dyDescent="0.25">
      <c r="B23" s="18" t="str">
        <f>"                    &lt;h4&gt;"&amp;E14&amp;"&lt;/h4&gt;"</f>
        <v xml:space="preserve">                    &lt;h4&gt;Project score&lt;/h4&gt;</v>
      </c>
      <c r="C23" s="13"/>
      <c r="D23" s="13"/>
      <c r="E23" s="13"/>
      <c r="F23" s="13"/>
      <c r="G23" s="18"/>
      <c r="H23" s="13"/>
      <c r="I23" s="13"/>
      <c r="J23" s="13"/>
      <c r="K23" s="13"/>
    </row>
    <row r="24" spans="2:11" x14ac:dyDescent="0.25">
      <c r="B24" s="18" t="s">
        <v>279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x14ac:dyDescent="0.25">
      <c r="B25" s="18" t="s">
        <v>280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2:11" x14ac:dyDescent="0.25">
      <c r="B26" s="18" t="s">
        <v>281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2:11" x14ac:dyDescent="0.25">
      <c r="B27" s="18" t="s">
        <v>277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2:11" x14ac:dyDescent="0.25">
      <c r="B28" s="18" t="s">
        <v>282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1" x14ac:dyDescent="0.25">
      <c r="B29" s="18" t="s">
        <v>283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2:11" x14ac:dyDescent="0.25">
      <c r="B30" s="18" t="s">
        <v>279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2:11" x14ac:dyDescent="0.25">
      <c r="B31" s="18" t="s">
        <v>280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2:11" x14ac:dyDescent="0.25">
      <c r="B32" s="18" t="s">
        <v>274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2:11" x14ac:dyDescent="0.25">
      <c r="B33" s="18" t="s">
        <v>163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2:11" x14ac:dyDescent="0.25">
      <c r="B34" s="18" t="s">
        <v>161</v>
      </c>
      <c r="C34" s="18"/>
      <c r="D34" s="18"/>
      <c r="E34" s="18"/>
      <c r="F34" s="18"/>
      <c r="G34" s="18"/>
      <c r="H34" s="18"/>
      <c r="I34" s="18"/>
      <c r="J34" s="18"/>
      <c r="K34" s="18"/>
    </row>
    <row r="36" spans="2:11" x14ac:dyDescent="0.25">
      <c r="B36" s="2" t="s">
        <v>166</v>
      </c>
      <c r="D36" s="18" t="str">
        <f>"&lt;a href='#' id='openmodal_"&amp;C15&amp;"'&gt;"&amp;C15&amp;"&lt;/a&gt;"</f>
        <v>&lt;a href='#' id='openmodal_modal_a_transfercoordination'&gt;modal_a_transfercoordination&lt;/a&gt;</v>
      </c>
      <c r="E36" s="18"/>
      <c r="F36" s="18"/>
      <c r="G36" s="18"/>
      <c r="H36" s="18"/>
    </row>
    <row r="37" spans="2:11" x14ac:dyDescent="0.25">
      <c r="C37" s="2" t="s">
        <v>168</v>
      </c>
      <c r="D37" s="18" t="str">
        <f>"@include('"&amp;G11&amp;".modal_"&amp;E12&amp;"')"</f>
        <v>@include('c4project.modal_a_transfercoordination')</v>
      </c>
      <c r="E37" s="18"/>
      <c r="F37" s="18"/>
      <c r="G37" s="18"/>
      <c r="H37" s="18"/>
    </row>
    <row r="39" spans="2:11" x14ac:dyDescent="0.25">
      <c r="B39" s="2" t="s">
        <v>165</v>
      </c>
    </row>
    <row r="40" spans="2:11" x14ac:dyDescent="0.25">
      <c r="B40" s="18" t="str">
        <f>"$('#openmodal_"&amp;C15&amp;"').click(function(e){"</f>
        <v>$('#openmodal_modal_a_transfercoordination').click(function(e){</v>
      </c>
      <c r="C40" s="18"/>
      <c r="D40" s="18"/>
      <c r="E40" s="18"/>
      <c r="F40" s="18"/>
    </row>
    <row r="41" spans="2:11" x14ac:dyDescent="0.25">
      <c r="B41" s="18" t="s">
        <v>167</v>
      </c>
      <c r="C41" s="18"/>
      <c r="D41" s="18"/>
      <c r="E41" s="18"/>
      <c r="F41" s="18"/>
    </row>
    <row r="42" spans="2:11" x14ac:dyDescent="0.25">
      <c r="B42" s="18" t="str">
        <f>"    $('#"&amp;C15&amp;"').modal('show');"</f>
        <v xml:space="preserve">    $('#modal_a_transfercoordination').modal('show');</v>
      </c>
      <c r="C42" s="18"/>
      <c r="D42" s="18"/>
      <c r="E42" s="18"/>
      <c r="F42" s="18"/>
    </row>
    <row r="43" spans="2:11" x14ac:dyDescent="0.25">
      <c r="B43" s="18" t="s">
        <v>82</v>
      </c>
      <c r="C43" s="18"/>
      <c r="D43" s="18"/>
      <c r="E43" s="18"/>
      <c r="F43" s="1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2:L44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2" spans="2:12" x14ac:dyDescent="0.25">
      <c r="B2" s="30" t="s">
        <v>103</v>
      </c>
      <c r="C2" s="29" t="s">
        <v>1</v>
      </c>
      <c r="E2" s="3" t="str">
        <f>LEFT(C2,LEN(C2)-1)</f>
        <v>prayer</v>
      </c>
      <c r="F2" s="3" t="str">
        <f>UPPER(LEFT(E2,1))&amp;RIGHT(E2,LEN(E2)-1)</f>
        <v>Prayer</v>
      </c>
    </row>
    <row r="4" spans="2:12" x14ac:dyDescent="0.25">
      <c r="C4" s="2" t="s">
        <v>169</v>
      </c>
      <c r="F4" s="2" t="s">
        <v>169</v>
      </c>
      <c r="I4" s="2" t="s">
        <v>170</v>
      </c>
      <c r="L4" s="2" t="s">
        <v>170</v>
      </c>
    </row>
    <row r="5" spans="2:12" x14ac:dyDescent="0.25">
      <c r="B5" s="2">
        <v>1</v>
      </c>
      <c r="C5" s="29" t="s">
        <v>171</v>
      </c>
      <c r="E5" s="2">
        <v>11</v>
      </c>
      <c r="F5" s="29"/>
      <c r="H5" s="2">
        <v>1</v>
      </c>
      <c r="I5" s="29" t="s">
        <v>147</v>
      </c>
      <c r="K5" s="2">
        <v>11</v>
      </c>
      <c r="L5" s="29"/>
    </row>
    <row r="6" spans="2:12" x14ac:dyDescent="0.25">
      <c r="B6" s="2">
        <v>2</v>
      </c>
      <c r="C6" s="29" t="s">
        <v>172</v>
      </c>
      <c r="E6" s="2">
        <v>12</v>
      </c>
      <c r="F6" s="29"/>
      <c r="H6" s="2">
        <v>2</v>
      </c>
      <c r="I6" s="29" t="s">
        <v>148</v>
      </c>
      <c r="K6" s="2">
        <v>12</v>
      </c>
      <c r="L6" s="29"/>
    </row>
    <row r="7" spans="2:12" x14ac:dyDescent="0.25">
      <c r="B7" s="2">
        <v>3</v>
      </c>
      <c r="C7" s="29" t="s">
        <v>173</v>
      </c>
      <c r="E7" s="2">
        <v>13</v>
      </c>
      <c r="F7" s="29"/>
      <c r="H7" s="2">
        <v>3</v>
      </c>
      <c r="I7" s="29" t="s">
        <v>149</v>
      </c>
      <c r="K7" s="2">
        <v>13</v>
      </c>
      <c r="L7" s="29"/>
    </row>
    <row r="8" spans="2:12" x14ac:dyDescent="0.25">
      <c r="B8" s="2">
        <v>4</v>
      </c>
      <c r="C8" s="29" t="s">
        <v>174</v>
      </c>
      <c r="E8" s="2">
        <v>14</v>
      </c>
      <c r="F8" s="29"/>
      <c r="H8" s="2">
        <v>4</v>
      </c>
      <c r="I8" s="29" t="s">
        <v>150</v>
      </c>
      <c r="K8" s="2">
        <v>14</v>
      </c>
      <c r="L8" s="29"/>
    </row>
    <row r="9" spans="2:12" x14ac:dyDescent="0.25">
      <c r="B9" s="2">
        <v>5</v>
      </c>
      <c r="C9" s="29" t="s">
        <v>175</v>
      </c>
      <c r="E9" s="2">
        <v>15</v>
      </c>
      <c r="F9" s="29"/>
      <c r="H9" s="2">
        <v>5</v>
      </c>
      <c r="I9" s="29" t="s">
        <v>151</v>
      </c>
      <c r="K9" s="2">
        <v>15</v>
      </c>
      <c r="L9" s="29"/>
    </row>
    <row r="10" spans="2:12" x14ac:dyDescent="0.25">
      <c r="B10" s="2">
        <v>6</v>
      </c>
      <c r="C10" s="29"/>
      <c r="E10" s="2">
        <v>16</v>
      </c>
      <c r="F10" s="29"/>
      <c r="H10" s="2">
        <v>6</v>
      </c>
      <c r="I10" s="29"/>
      <c r="K10" s="2">
        <v>16</v>
      </c>
      <c r="L10" s="29"/>
    </row>
    <row r="11" spans="2:12" x14ac:dyDescent="0.25">
      <c r="B11" s="2">
        <v>7</v>
      </c>
      <c r="C11" s="29"/>
      <c r="E11" s="2">
        <v>17</v>
      </c>
      <c r="F11" s="29"/>
      <c r="H11" s="2">
        <v>7</v>
      </c>
      <c r="I11" s="29"/>
      <c r="K11" s="2">
        <v>17</v>
      </c>
      <c r="L11" s="29"/>
    </row>
    <row r="12" spans="2:12" x14ac:dyDescent="0.25">
      <c r="B12" s="2">
        <v>8</v>
      </c>
      <c r="C12" s="29"/>
      <c r="E12" s="2">
        <v>18</v>
      </c>
      <c r="F12" s="29"/>
      <c r="H12" s="2">
        <v>8</v>
      </c>
      <c r="I12" s="29"/>
      <c r="K12" s="2">
        <v>18</v>
      </c>
      <c r="L12" s="29"/>
    </row>
    <row r="13" spans="2:12" x14ac:dyDescent="0.25">
      <c r="B13" s="2">
        <v>9</v>
      </c>
      <c r="C13" s="29"/>
      <c r="E13" s="2">
        <v>19</v>
      </c>
      <c r="F13" s="29"/>
      <c r="H13" s="2">
        <v>9</v>
      </c>
      <c r="I13" s="29"/>
      <c r="K13" s="2">
        <v>19</v>
      </c>
      <c r="L13" s="29"/>
    </row>
    <row r="14" spans="2:12" x14ac:dyDescent="0.25">
      <c r="B14" s="2">
        <v>10</v>
      </c>
      <c r="C14" s="29"/>
      <c r="E14" s="2">
        <v>20</v>
      </c>
      <c r="F14" s="29"/>
      <c r="H14" s="2">
        <v>10</v>
      </c>
      <c r="I14" s="29"/>
      <c r="K14" s="2">
        <v>20</v>
      </c>
      <c r="L14" s="29"/>
    </row>
    <row r="17" spans="2:12" x14ac:dyDescent="0.25">
      <c r="B17" s="2" t="s">
        <v>178</v>
      </c>
    </row>
    <row r="18" spans="2:12" x14ac:dyDescent="0.25">
      <c r="B18" s="1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25">
      <c r="B19" s="1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s="1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x14ac:dyDescent="0.25">
      <c r="B21" s="1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2" x14ac:dyDescent="0.25">
      <c r="B22" s="13" t="s">
        <v>179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5" spans="2:12" x14ac:dyDescent="0.25">
      <c r="B25" s="2" t="s">
        <v>54</v>
      </c>
    </row>
    <row r="27" spans="2:12" x14ac:dyDescent="0.25">
      <c r="B27" s="2" t="s">
        <v>177</v>
      </c>
    </row>
    <row r="28" spans="2:12" x14ac:dyDescent="0.25">
      <c r="B28" s="1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1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5">
      <c r="B30" s="13" t="str">
        <f>IF(C13&lt;&gt;"","$"&amp;I13&amp;" = $_POST['"&amp;C13&amp;"'];","")&amp;IF(C14&lt;&gt;"","$"&amp;I14&amp;" = $_POST['"&amp;C14&amp;"'];","")</f>
        <v/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2:12" x14ac:dyDescent="0.25">
      <c r="B31" s="2" t="s">
        <v>180</v>
      </c>
    </row>
    <row r="32" spans="2:12" x14ac:dyDescent="0.25">
      <c r="B32" s="1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1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25">
      <c r="B34" s="13" t="str">
        <f>IF(F13&lt;&gt;"","$"&amp;I13&amp;" = $_POST['"&amp;F13&amp;"'];","")&amp;IF(F14&lt;&gt;"","$"&amp;I14&amp;" = $_POST['"&amp;F14&amp;"'];","")</f>
        <v/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6" spans="2:12" x14ac:dyDescent="0.25">
      <c r="B36" s="2" t="s">
        <v>176</v>
      </c>
    </row>
    <row r="37" spans="2:12" x14ac:dyDescent="0.25">
      <c r="B37" s="1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1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 x14ac:dyDescent="0.25">
      <c r="B39" s="13" t="str">
        <f>IF(I13&lt;&gt;"","    "&amp;IF(I12&lt;&gt;"columns",",","")&amp;"'"&amp;I13&amp;"'  =&gt;  $"&amp;I13,"")&amp;IF(I14&lt;&gt;"",IF(I13&lt;&gt;"columns",",","")&amp;"'"&amp;I14&amp;"'  =&gt;  $"&amp;I14,"")</f>
        <v/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 x14ac:dyDescent="0.25">
      <c r="B40" s="2" t="s">
        <v>180</v>
      </c>
    </row>
    <row r="41" spans="2:12" x14ac:dyDescent="0.25">
      <c r="B41" s="1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x14ac:dyDescent="0.25">
      <c r="B42" s="1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25">
      <c r="B43" s="13" t="str">
        <f>IF(L13&lt;&gt;"","    "&amp;IF(L12&lt;&gt;"columns",",","")&amp;"'"&amp;L13&amp;"'  =&gt;  $"&amp;L13,"")&amp;IF(L14&lt;&gt;"",IF(L13&lt;&gt;"columns",",","")&amp;"'"&amp;L14&amp;"'  =&gt;  $"&amp;L14,"")</f>
        <v/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25">
      <c r="B44" s="2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B12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1" spans="2:2" s="13" customFormat="1" x14ac:dyDescent="0.25"/>
    <row r="2" spans="2:2" s="13" customFormat="1" x14ac:dyDescent="0.25"/>
    <row r="3" spans="2:2" s="13" customFormat="1" x14ac:dyDescent="0.25"/>
    <row r="6" spans="2:2" x14ac:dyDescent="0.25">
      <c r="B6" s="2" t="s">
        <v>128</v>
      </c>
    </row>
    <row r="8" spans="2:2" x14ac:dyDescent="0.25">
      <c r="B8" s="2" t="s">
        <v>129</v>
      </c>
    </row>
    <row r="9" spans="2:2" x14ac:dyDescent="0.25">
      <c r="B9" s="2" t="s">
        <v>130</v>
      </c>
    </row>
    <row r="10" spans="2:2" x14ac:dyDescent="0.25">
      <c r="B10" s="2" t="s">
        <v>131</v>
      </c>
    </row>
    <row r="11" spans="2:2" x14ac:dyDescent="0.25">
      <c r="B11" s="2" t="s">
        <v>132</v>
      </c>
    </row>
    <row r="12" spans="2:2" x14ac:dyDescent="0.25">
      <c r="B12" s="2" t="s">
        <v>133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3:K39"/>
  <sheetViews>
    <sheetView topLeftCell="A12" zoomScaleNormal="100" workbookViewId="0">
      <selection activeCell="H26" sqref="H26"/>
    </sheetView>
  </sheetViews>
  <sheetFormatPr baseColWidth="10" defaultColWidth="11.42578125" defaultRowHeight="15" x14ac:dyDescent="0.25"/>
  <cols>
    <col min="1" max="9" width="11.42578125" style="2"/>
    <col min="10" max="10" width="11.85546875" style="2" bestFit="1" customWidth="1"/>
    <col min="11" max="16384" width="11.42578125" style="2"/>
  </cols>
  <sheetData>
    <row r="3" spans="2:11" x14ac:dyDescent="0.25">
      <c r="B3" s="2" t="s">
        <v>67</v>
      </c>
    </row>
    <row r="5" spans="2:11" x14ac:dyDescent="0.25">
      <c r="B5" s="2" t="s">
        <v>68</v>
      </c>
    </row>
    <row r="6" spans="2:11" x14ac:dyDescent="0.25">
      <c r="B6" s="2" t="s">
        <v>69</v>
      </c>
    </row>
    <row r="7" spans="2:11" x14ac:dyDescent="0.25">
      <c r="C7" s="2" t="s">
        <v>70</v>
      </c>
      <c r="D7" s="2" t="s">
        <v>61</v>
      </c>
    </row>
    <row r="8" spans="2:11" x14ac:dyDescent="0.25">
      <c r="C8" s="2" t="s">
        <v>71</v>
      </c>
      <c r="D8" s="2" t="s">
        <v>59</v>
      </c>
    </row>
    <row r="9" spans="2:11" x14ac:dyDescent="0.25">
      <c r="D9" s="2" t="s">
        <v>60</v>
      </c>
    </row>
    <row r="10" spans="2:11" x14ac:dyDescent="0.25">
      <c r="C10" s="2" t="s">
        <v>72</v>
      </c>
    </row>
    <row r="11" spans="2:11" x14ac:dyDescent="0.25">
      <c r="D11" s="2" t="s">
        <v>73</v>
      </c>
    </row>
    <row r="13" spans="2:11" x14ac:dyDescent="0.25">
      <c r="B13" s="2" t="s">
        <v>75</v>
      </c>
    </row>
    <row r="14" spans="2:11" x14ac:dyDescent="0.25">
      <c r="B14" s="9" t="s">
        <v>62</v>
      </c>
      <c r="C14" s="8" t="s">
        <v>78</v>
      </c>
      <c r="D14" s="8"/>
      <c r="E14" s="8"/>
      <c r="F14" s="8"/>
      <c r="G14" s="8"/>
      <c r="H14" s="8"/>
      <c r="I14" s="8"/>
      <c r="J14" s="8"/>
      <c r="K14" s="8"/>
    </row>
    <row r="15" spans="2:11" x14ac:dyDescent="0.25">
      <c r="B15" s="8" t="s">
        <v>34</v>
      </c>
      <c r="C15" s="8" t="s">
        <v>5</v>
      </c>
      <c r="D15" s="8"/>
      <c r="E15" s="8"/>
      <c r="F15" s="8"/>
      <c r="G15" s="8"/>
    </row>
    <row r="16" spans="2:11" x14ac:dyDescent="0.25">
      <c r="B16" s="8" t="s">
        <v>34</v>
      </c>
      <c r="C16" s="8" t="s">
        <v>76</v>
      </c>
      <c r="D16" s="8"/>
      <c r="E16" s="8"/>
      <c r="F16" s="8"/>
      <c r="G16" s="8"/>
    </row>
    <row r="18" spans="2:4" x14ac:dyDescent="0.25">
      <c r="B18" s="2" t="s">
        <v>87</v>
      </c>
    </row>
    <row r="19" spans="2:4" x14ac:dyDescent="0.25">
      <c r="C19" s="12" t="s">
        <v>88</v>
      </c>
    </row>
    <row r="20" spans="2:4" x14ac:dyDescent="0.25">
      <c r="C20" s="12" t="s">
        <v>89</v>
      </c>
    </row>
    <row r="22" spans="2:4" x14ac:dyDescent="0.25">
      <c r="B22" s="2" t="s">
        <v>85</v>
      </c>
    </row>
    <row r="23" spans="2:4" x14ac:dyDescent="0.25">
      <c r="C23" s="7" t="s">
        <v>90</v>
      </c>
      <c r="D23" s="7"/>
    </row>
    <row r="24" spans="2:4" x14ac:dyDescent="0.25">
      <c r="C24" s="7" t="s">
        <v>93</v>
      </c>
    </row>
    <row r="25" spans="2:4" x14ac:dyDescent="0.25">
      <c r="C25" s="7" t="s">
        <v>94</v>
      </c>
    </row>
    <row r="26" spans="2:4" x14ac:dyDescent="0.25">
      <c r="C26" s="7" t="s">
        <v>82</v>
      </c>
    </row>
    <row r="27" spans="2:4" x14ac:dyDescent="0.25">
      <c r="C27" s="7" t="s">
        <v>91</v>
      </c>
    </row>
    <row r="28" spans="2:4" x14ac:dyDescent="0.25">
      <c r="C28" s="7" t="s">
        <v>92</v>
      </c>
    </row>
    <row r="29" spans="2:4" x14ac:dyDescent="0.25">
      <c r="C29" s="2" t="s">
        <v>74</v>
      </c>
    </row>
    <row r="31" spans="2:4" x14ac:dyDescent="0.25">
      <c r="B31" s="2" t="s">
        <v>86</v>
      </c>
    </row>
    <row r="32" spans="2:4" x14ac:dyDescent="0.25">
      <c r="C32" s="12" t="s">
        <v>64</v>
      </c>
    </row>
    <row r="33" spans="2:6" x14ac:dyDescent="0.25">
      <c r="C33" s="12" t="s">
        <v>77</v>
      </c>
    </row>
    <row r="34" spans="2:6" x14ac:dyDescent="0.25">
      <c r="C34" s="12" t="s">
        <v>63</v>
      </c>
    </row>
    <row r="36" spans="2:6" x14ac:dyDescent="0.25">
      <c r="B36" s="6" t="s">
        <v>84</v>
      </c>
      <c r="F36" s="11"/>
    </row>
    <row r="37" spans="2:6" x14ac:dyDescent="0.25">
      <c r="C37" s="11"/>
    </row>
    <row r="39" spans="2:6" x14ac:dyDescent="0.25">
      <c r="C39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6"/>
  <sheetViews>
    <sheetView topLeftCell="A2" workbookViewId="0">
      <selection activeCell="A2" sqref="A2"/>
    </sheetView>
  </sheetViews>
  <sheetFormatPr baseColWidth="10" defaultColWidth="11.42578125" defaultRowHeight="15" zeroHeight="1" x14ac:dyDescent="0.25"/>
  <cols>
    <col min="1" max="1" width="11.42578125" style="2"/>
    <col min="2" max="2" width="11.85546875" style="2" bestFit="1" customWidth="1"/>
    <col min="3" max="5" width="11.42578125" style="2"/>
    <col min="6" max="6" width="11.85546875" style="2" bestFit="1" customWidth="1"/>
    <col min="7" max="16384" width="11.42578125" style="2"/>
  </cols>
  <sheetData>
    <row r="1" spans="1:11" s="14" customFormat="1" hidden="1" x14ac:dyDescent="0.25">
      <c r="A1" s="14" t="s">
        <v>48</v>
      </c>
    </row>
    <row r="2" spans="1:11" x14ac:dyDescent="0.25"/>
    <row r="3" spans="1:11" x14ac:dyDescent="0.25">
      <c r="B3" s="6" t="s">
        <v>189</v>
      </c>
    </row>
    <row r="4" spans="1:11" x14ac:dyDescent="0.25"/>
    <row r="5" spans="1:11" x14ac:dyDescent="0.25">
      <c r="B5" s="2" t="s">
        <v>190</v>
      </c>
    </row>
    <row r="6" spans="1:11" x14ac:dyDescent="0.25">
      <c r="C6" s="25" t="s">
        <v>197</v>
      </c>
      <c r="D6" s="13"/>
      <c r="E6" s="13"/>
      <c r="F6" s="13"/>
      <c r="G6" s="13"/>
      <c r="H6" s="13"/>
      <c r="I6" s="13"/>
    </row>
    <row r="7" spans="1:11" x14ac:dyDescent="0.25">
      <c r="C7" s="25" t="s">
        <v>79</v>
      </c>
      <c r="D7" s="13"/>
      <c r="E7" s="13"/>
      <c r="F7" s="13"/>
      <c r="G7" s="13"/>
      <c r="H7" s="13"/>
      <c r="I7" s="13"/>
    </row>
    <row r="8" spans="1:11" x14ac:dyDescent="0.25">
      <c r="C8" s="25" t="s">
        <v>198</v>
      </c>
      <c r="D8" s="13"/>
      <c r="E8" s="13"/>
      <c r="F8" s="13"/>
      <c r="G8" s="13"/>
      <c r="H8" s="13"/>
      <c r="I8" s="13"/>
    </row>
    <row r="9" spans="1:11" x14ac:dyDescent="0.25">
      <c r="C9" s="25" t="s">
        <v>199</v>
      </c>
      <c r="D9" s="13"/>
      <c r="E9" s="13"/>
      <c r="F9" s="13"/>
      <c r="G9" s="13"/>
      <c r="H9" s="13"/>
      <c r="I9" s="13"/>
    </row>
    <row r="10" spans="1:11" x14ac:dyDescent="0.25">
      <c r="B10" s="33" t="s">
        <v>80</v>
      </c>
    </row>
    <row r="11" spans="1:11" x14ac:dyDescent="0.25"/>
    <row r="12" spans="1:11" x14ac:dyDescent="0.25">
      <c r="B12" s="2" t="s">
        <v>192</v>
      </c>
      <c r="G12" s="33" t="s">
        <v>196</v>
      </c>
    </row>
    <row r="13" spans="1:11" x14ac:dyDescent="0.25">
      <c r="B13" s="2" t="s">
        <v>193</v>
      </c>
      <c r="D13" s="24" t="s">
        <v>191</v>
      </c>
      <c r="E13" s="17" t="s">
        <v>195</v>
      </c>
      <c r="F13" s="24" t="s">
        <v>194</v>
      </c>
      <c r="G13" s="17" t="s">
        <v>529</v>
      </c>
      <c r="H13" s="3" t="str">
        <f>E13&amp;"."&amp;G13</f>
        <v>emails.leavingproject</v>
      </c>
      <c r="K13" s="33" t="str">
        <f>RIGHT('Start project'!C24,LEN('Start project'!C24)-3)</f>
        <v>C:\Users\mariaadelaida\Desktop\"laravel projects"\github\facturasalud</v>
      </c>
    </row>
    <row r="14" spans="1:11" x14ac:dyDescent="0.25">
      <c r="B14" s="9" t="s">
        <v>62</v>
      </c>
      <c r="C14" s="8" t="str">
        <f>"Copy-Item "&amp;K13&amp;"\app\views\templates\email2.blade.php "&amp;K13&amp;"\app\views\emails"</f>
        <v>Copy-Item C:\Users\mariaadelaida\Desktop\"laravel projects"\github\facturasalud\app\views\templates\email2.blade.php C:\Users\mariaadelaida\Desktop\"laravel projects"\github\facturasalud\app\views\emails</v>
      </c>
      <c r="D14" s="8"/>
      <c r="E14" s="8"/>
      <c r="F14" s="8"/>
      <c r="G14" s="8"/>
      <c r="H14" s="8"/>
    </row>
    <row r="15" spans="1:11" x14ac:dyDescent="0.25">
      <c r="B15" s="9" t="s">
        <v>62</v>
      </c>
      <c r="C15" s="8" t="str">
        <f>"Rename-Item "&amp;K13&amp;"\app\views\"&amp;E13&amp;"\email2.blade.php "&amp;G13&amp;".blade.php"</f>
        <v>Rename-Item C:\Users\mariaadelaida\Desktop\"laravel projects"\github\facturasalud\app\views\emails\email2.blade.php leavingproject.blade.php</v>
      </c>
      <c r="D15" s="8"/>
      <c r="E15" s="8"/>
      <c r="F15" s="8"/>
      <c r="G15" s="8"/>
      <c r="H15" s="8"/>
    </row>
    <row r="16" spans="1:11" x14ac:dyDescent="0.25"/>
    <row r="17" spans="2:12" x14ac:dyDescent="0.25">
      <c r="B17" s="2" t="s">
        <v>271</v>
      </c>
    </row>
    <row r="18" spans="2:12" x14ac:dyDescent="0.25">
      <c r="B18" s="13" t="str">
        <f>"public function get"&amp;UPPER(LEFT(G13,1))&amp;RIGHT(G13,LEN(G13)-1)&amp;"() {"</f>
        <v>public function getLeavingproject() {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2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2:12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2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2:12" x14ac:dyDescent="0.25">
      <c r="B22" s="13" t="str">
        <f>"    return View::make('"&amp;E13&amp;"."&amp;G13&amp;"');"</f>
        <v xml:space="preserve">    return View::make('emails.leavingproject');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2:12" x14ac:dyDescent="0.25">
      <c r="B23" s="13" t="s">
        <v>2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2" x14ac:dyDescent="0.25"/>
    <row r="25" spans="2:12" x14ac:dyDescent="0.25">
      <c r="B25" s="2" t="s">
        <v>527</v>
      </c>
      <c r="C25" s="2" t="str">
        <f>"/emailtester/"&amp;G13</f>
        <v>/emailtester/leavingproject</v>
      </c>
    </row>
    <row r="26" spans="2:12" x14ac:dyDescent="0.25"/>
    <row r="27" spans="2:12" x14ac:dyDescent="0.25">
      <c r="B27" s="2" t="s">
        <v>200</v>
      </c>
    </row>
    <row r="28" spans="2:12" x14ac:dyDescent="0.25">
      <c r="B28" s="2" t="s">
        <v>203</v>
      </c>
      <c r="F28" s="2" t="s">
        <v>204</v>
      </c>
      <c r="G28" s="2" t="s">
        <v>201</v>
      </c>
      <c r="J28" s="2" t="s">
        <v>202</v>
      </c>
      <c r="L28" s="2" t="s">
        <v>273</v>
      </c>
    </row>
    <row r="29" spans="2:12" x14ac:dyDescent="0.25">
      <c r="G29" s="18" t="s">
        <v>517</v>
      </c>
      <c r="H29" s="16"/>
      <c r="J29" s="16"/>
    </row>
    <row r="30" spans="2:12" x14ac:dyDescent="0.25">
      <c r="B30" s="29" t="s">
        <v>516</v>
      </c>
      <c r="C30" s="29"/>
      <c r="D30" s="17"/>
      <c r="F30" s="34" t="str">
        <f>IF(B30&lt;&gt;"",LEFT(B30,FIND("=",B30)-1),"")</f>
        <v>$coordinator</v>
      </c>
      <c r="G30" s="18" t="str">
        <f>IF(F30&lt;&gt;"",IF(G29="$mssgdata=compact(","",",")&amp;"'"&amp;RIGHT(F30,LEN(F30)-1)&amp;"'     ","")</f>
        <v xml:space="preserve">'coordinator'     </v>
      </c>
      <c r="H30" s="16"/>
      <c r="J30" s="16" t="str">
        <f>IF(F30&lt;&gt;"","{{"&amp;F30&amp;"}}","")</f>
        <v>{{$coordinator}}</v>
      </c>
    </row>
    <row r="31" spans="2:12" x14ac:dyDescent="0.25">
      <c r="B31" s="29" t="s">
        <v>530</v>
      </c>
      <c r="C31" s="29"/>
      <c r="D31" s="17"/>
      <c r="F31" s="34" t="str">
        <f t="shared" ref="F31:F34" si="0">IF(B31&lt;&gt;"",LEFT(B31,FIND("=",B31)-1),"")</f>
        <v>$user</v>
      </c>
      <c r="G31" s="18" t="str">
        <f>IF(F31&lt;&gt;"",IF(G30="$mssgdata=array(","",",")&amp;"'"&amp;RIGHT(F31,LEN(F31)-1)&amp;"'  ","")</f>
        <v xml:space="preserve">,'user'  </v>
      </c>
      <c r="H31" s="16"/>
      <c r="J31" s="16" t="str">
        <f t="shared" ref="J31:J34" si="1">IF(F31&lt;&gt;"","{{"&amp;F31&amp;"}}","")</f>
        <v>{{$user}}</v>
      </c>
    </row>
    <row r="32" spans="2:12" x14ac:dyDescent="0.25">
      <c r="B32" s="29" t="s">
        <v>272</v>
      </c>
      <c r="C32" s="29"/>
      <c r="D32" s="17"/>
      <c r="F32" s="34" t="str">
        <f t="shared" si="0"/>
        <v>$project</v>
      </c>
      <c r="G32" s="18" t="str">
        <f>IF(F32&lt;&gt;"",IF(G31="$mssgdata=array(","",",")&amp;"'"&amp;RIGHT(F32,LEN(F32)-1)&amp;"'   ","")</f>
        <v xml:space="preserve">,'project'   </v>
      </c>
      <c r="H32" s="16"/>
      <c r="J32" s="16" t="str">
        <f t="shared" si="1"/>
        <v>{{$project}}</v>
      </c>
    </row>
    <row r="33" spans="1:10" x14ac:dyDescent="0.25">
      <c r="B33" s="29"/>
      <c r="C33" s="29"/>
      <c r="D33" s="17"/>
      <c r="F33" s="34" t="str">
        <f t="shared" si="0"/>
        <v/>
      </c>
      <c r="G33" s="18" t="str">
        <f>IF(F33&lt;&gt;"",IF(G32="$mssgdata=array(","",",")&amp;"'"&amp;RIGHT(F33,LEN(F33)-1)&amp;"'     ","")</f>
        <v/>
      </c>
      <c r="H33" s="16"/>
      <c r="J33" s="16" t="str">
        <f t="shared" si="1"/>
        <v/>
      </c>
    </row>
    <row r="34" spans="1:10" x14ac:dyDescent="0.25">
      <c r="B34" s="29"/>
      <c r="C34" s="29"/>
      <c r="D34" s="17"/>
      <c r="F34" s="34" t="str">
        <f t="shared" si="0"/>
        <v/>
      </c>
      <c r="G34" s="18" t="str">
        <f>IF(F34&lt;&gt;"",IF(G33="$mssgdata=array(","",",")&amp;"'"&amp;RIGHT(F34,LEN(F34)-1)&amp;"'     ","")</f>
        <v/>
      </c>
      <c r="H34" s="16"/>
      <c r="J34" s="16" t="str">
        <f t="shared" si="1"/>
        <v/>
      </c>
    </row>
    <row r="35" spans="1:10" x14ac:dyDescent="0.25">
      <c r="G35" s="18" t="s">
        <v>153</v>
      </c>
      <c r="H35" s="16"/>
      <c r="J35" s="16"/>
    </row>
    <row r="36" spans="1:10" x14ac:dyDescent="0.25"/>
    <row r="37" spans="1:10" x14ac:dyDescent="0.25">
      <c r="B37" s="2" t="s">
        <v>205</v>
      </c>
    </row>
    <row r="38" spans="1:10" x14ac:dyDescent="0.25">
      <c r="G38" s="18" t="s">
        <v>206</v>
      </c>
      <c r="H38" s="16"/>
      <c r="I38" s="16"/>
    </row>
    <row r="39" spans="1:10" x14ac:dyDescent="0.25">
      <c r="A39" s="2" t="s">
        <v>208</v>
      </c>
      <c r="B39" s="29" t="s">
        <v>528</v>
      </c>
      <c r="C39" s="29"/>
      <c r="D39" s="17"/>
      <c r="F39" s="34" t="str">
        <f>IF(B39&lt;&gt;"",LEFT(B39,FIND("=",B39)-1),"")</f>
        <v>$email</v>
      </c>
      <c r="G39" s="18" t="str">
        <f>"    'recipient'    =&gt;    "&amp;F39</f>
        <v xml:space="preserve">    'recipient'    =&gt;    $email</v>
      </c>
      <c r="H39" s="16"/>
      <c r="I39" s="16"/>
    </row>
    <row r="40" spans="1:10" x14ac:dyDescent="0.25">
      <c r="A40" s="2" t="s">
        <v>97</v>
      </c>
      <c r="B40" s="29" t="s">
        <v>528</v>
      </c>
      <c r="C40" s="29"/>
      <c r="D40" s="17"/>
      <c r="F40" s="34" t="str">
        <f t="shared" ref="F40:F43" si="2">IF(B40&lt;&gt;"",LEFT(B40,FIND("=",B40)-1),"")</f>
        <v>$email</v>
      </c>
      <c r="G40" s="18" t="str">
        <f>"   , 'r_name'    =&gt;    "&amp;F40</f>
        <v xml:space="preserve">   , 'r_name'    =&gt;    $email</v>
      </c>
      <c r="H40" s="16"/>
      <c r="I40" s="16"/>
    </row>
    <row r="41" spans="1:10" x14ac:dyDescent="0.25">
      <c r="A41" s="2" t="s">
        <v>207</v>
      </c>
      <c r="B41" s="29" t="s">
        <v>531</v>
      </c>
      <c r="C41" s="29"/>
      <c r="D41" s="17"/>
      <c r="F41" s="35" t="str">
        <f>IF(B41&lt;&gt;"",LEFT(B41,FIND("=",B41)-1),"'support@healmydisease.com'")</f>
        <v>$taskingeasy</v>
      </c>
      <c r="G41" s="18" t="str">
        <f>"   , 'sender'    =&gt;    "&amp;F41</f>
        <v xml:space="preserve">   , 'sender'    =&gt;    $taskingeasy</v>
      </c>
      <c r="H41" s="16"/>
      <c r="I41" s="16"/>
    </row>
    <row r="42" spans="1:10" x14ac:dyDescent="0.25">
      <c r="A42" s="2" t="s">
        <v>97</v>
      </c>
      <c r="B42" s="29" t="s">
        <v>516</v>
      </c>
      <c r="C42" s="29"/>
      <c r="D42" s="17"/>
      <c r="F42" s="35" t="str">
        <f>IF(B42&lt;&gt;"",LEFT(B42,FIND("=",B42)-1),"'The HMD team'")</f>
        <v>$coordinator</v>
      </c>
      <c r="G42" s="18" t="str">
        <f>"   , 's_name'    =&gt;    "&amp;F42</f>
        <v xml:space="preserve">   , 's_name'    =&gt;    $coordinator</v>
      </c>
      <c r="H42" s="16"/>
      <c r="I42" s="16"/>
    </row>
    <row r="43" spans="1:10" x14ac:dyDescent="0.25">
      <c r="A43" s="2" t="s">
        <v>211</v>
      </c>
      <c r="B43" s="29" t="s">
        <v>532</v>
      </c>
      <c r="C43" s="29"/>
      <c r="D43" s="17"/>
      <c r="F43" s="34" t="str">
        <f t="shared" si="2"/>
        <v>$subject</v>
      </c>
      <c r="G43" s="18" t="str">
        <f>"   , 'subject'    =&gt;    "&amp;F43</f>
        <v xml:space="preserve">   , 'subject'    =&gt;    $subject</v>
      </c>
      <c r="H43" s="16"/>
      <c r="I43" s="16"/>
    </row>
    <row r="44" spans="1:10" x14ac:dyDescent="0.25">
      <c r="G44" s="18" t="s">
        <v>153</v>
      </c>
      <c r="H44" s="16"/>
      <c r="I44" s="16"/>
    </row>
    <row r="45" spans="1:10" x14ac:dyDescent="0.25"/>
    <row r="46" spans="1:10" x14ac:dyDescent="0.25"/>
    <row r="47" spans="1:10" x14ac:dyDescent="0.25">
      <c r="B47" s="2" t="s">
        <v>81</v>
      </c>
    </row>
    <row r="48" spans="1:10" x14ac:dyDescent="0.25">
      <c r="C48" s="25" t="str">
        <f>"Mail::send(   '"&amp;H13&amp;"',   $mssgdata,  function($message) use ($maildata) {"</f>
        <v>Mail::send(   'emails.leavingproject',   $mssgdata,  function($message) use ($maildata) {</v>
      </c>
      <c r="D48" s="13"/>
      <c r="E48" s="13"/>
      <c r="F48" s="13"/>
      <c r="G48" s="13"/>
      <c r="H48" s="13"/>
      <c r="I48" s="13"/>
    </row>
    <row r="49" spans="2:9" x14ac:dyDescent="0.25">
      <c r="C49" s="25" t="s">
        <v>209</v>
      </c>
      <c r="D49" s="13"/>
      <c r="E49" s="13"/>
      <c r="F49" s="13"/>
      <c r="G49" s="13"/>
      <c r="H49" s="13"/>
      <c r="I49" s="13"/>
    </row>
    <row r="50" spans="2:9" x14ac:dyDescent="0.25">
      <c r="C50" s="25" t="s">
        <v>210</v>
      </c>
      <c r="D50" s="13"/>
      <c r="E50" s="25"/>
      <c r="F50" s="13"/>
      <c r="G50" s="13"/>
      <c r="H50" s="13"/>
      <c r="I50" s="13"/>
    </row>
    <row r="51" spans="2:9" x14ac:dyDescent="0.25">
      <c r="C51" s="25" t="s">
        <v>213</v>
      </c>
      <c r="D51" s="13"/>
      <c r="E51" s="25"/>
      <c r="F51" s="13"/>
      <c r="G51" s="13"/>
      <c r="H51" s="13"/>
      <c r="I51" s="13"/>
    </row>
    <row r="52" spans="2:9" x14ac:dyDescent="0.25">
      <c r="C52" s="25" t="s">
        <v>82</v>
      </c>
      <c r="D52" s="13"/>
      <c r="E52" s="13"/>
      <c r="F52" s="13"/>
      <c r="G52" s="13"/>
      <c r="H52" s="13"/>
      <c r="I52" s="13"/>
    </row>
    <row r="53" spans="2:9" x14ac:dyDescent="0.25"/>
    <row r="54" spans="2:9" x14ac:dyDescent="0.25">
      <c r="B54" s="2" t="s">
        <v>212</v>
      </c>
    </row>
    <row r="55" spans="2:9" x14ac:dyDescent="0.25">
      <c r="B55" s="2" t="s">
        <v>83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N90"/>
  <sheetViews>
    <sheetView topLeftCell="E2" workbookViewId="0">
      <pane ySplit="3" topLeftCell="A5" activePane="bottomLeft" state="frozen"/>
      <selection activeCell="A2" sqref="A2"/>
      <selection pane="bottomLeft" activeCell="C13" sqref="C13"/>
    </sheetView>
  </sheetViews>
  <sheetFormatPr baseColWidth="10" defaultColWidth="11.42578125" defaultRowHeight="15" x14ac:dyDescent="0.25"/>
  <cols>
    <col min="1" max="16384" width="11.42578125" style="16"/>
  </cols>
  <sheetData>
    <row r="1" spans="1:12" hidden="1" x14ac:dyDescent="0.25">
      <c r="A1" s="51" t="s">
        <v>48</v>
      </c>
    </row>
    <row r="2" spans="1:12" s="60" customFormat="1" x14ac:dyDescent="0.25"/>
    <row r="3" spans="1:12" s="60" customFormat="1" x14ac:dyDescent="0.25"/>
    <row r="4" spans="1:12" s="60" customFormat="1" x14ac:dyDescent="0.25"/>
    <row r="5" spans="1:12" x14ac:dyDescent="0.25">
      <c r="L5" s="16" t="s">
        <v>486</v>
      </c>
    </row>
    <row r="6" spans="1:12" x14ac:dyDescent="0.25">
      <c r="G6" s="36" t="s">
        <v>52</v>
      </c>
      <c r="H6" s="37"/>
      <c r="I6" s="37"/>
      <c r="J6" s="38"/>
    </row>
    <row r="7" spans="1:12" x14ac:dyDescent="0.25">
      <c r="B7" s="16" t="s">
        <v>214</v>
      </c>
      <c r="G7" s="39" t="s">
        <v>231</v>
      </c>
      <c r="H7" s="40"/>
      <c r="I7" s="40"/>
      <c r="J7" s="41"/>
    </row>
    <row r="9" spans="1:12" x14ac:dyDescent="0.25">
      <c r="B9" s="45" t="s">
        <v>223</v>
      </c>
    </row>
    <row r="10" spans="1:12" x14ac:dyDescent="0.25">
      <c r="B10" s="54" t="s">
        <v>250</v>
      </c>
    </row>
    <row r="11" spans="1:12" x14ac:dyDescent="0.25">
      <c r="B11" s="16" t="s">
        <v>246</v>
      </c>
      <c r="C11" s="91" t="s">
        <v>459</v>
      </c>
      <c r="D11" s="91"/>
    </row>
    <row r="12" spans="1:12" x14ac:dyDescent="0.25">
      <c r="B12" s="42" t="s">
        <v>34</v>
      </c>
      <c r="C12" s="52" t="str">
        <f>"cd "&amp;C11</f>
        <v>cd saferhealth</v>
      </c>
      <c r="D12" s="42"/>
      <c r="E12" s="42"/>
    </row>
    <row r="13" spans="1:12" x14ac:dyDescent="0.25">
      <c r="B13" s="42" t="s">
        <v>34</v>
      </c>
      <c r="C13" s="52" t="s">
        <v>221</v>
      </c>
      <c r="D13" s="42"/>
      <c r="E13" s="42"/>
      <c r="F13" s="16" t="s">
        <v>222</v>
      </c>
    </row>
    <row r="14" spans="1:12" x14ac:dyDescent="0.25">
      <c r="B14" s="42" t="s">
        <v>34</v>
      </c>
      <c r="C14" s="52" t="s">
        <v>220</v>
      </c>
      <c r="D14" s="42"/>
      <c r="E14" s="42"/>
    </row>
    <row r="15" spans="1:12" x14ac:dyDescent="0.25">
      <c r="B15" s="42" t="s">
        <v>34</v>
      </c>
      <c r="C15" s="52" t="s">
        <v>247</v>
      </c>
      <c r="D15" s="42"/>
      <c r="E15" s="42"/>
    </row>
    <row r="17" spans="2:10" x14ac:dyDescent="0.25">
      <c r="B17" s="16" t="s">
        <v>248</v>
      </c>
      <c r="F17" s="53" t="str">
        <f>C11</f>
        <v>saferhealth</v>
      </c>
    </row>
    <row r="18" spans="2:10" x14ac:dyDescent="0.25">
      <c r="B18" s="42" t="s">
        <v>34</v>
      </c>
      <c r="C18" s="52" t="str">
        <f>"git remote add origin https://github.com/alejoto/"&amp;C11&amp;".git"</f>
        <v>git remote add origin https://github.com/alejoto/saferhealth.git</v>
      </c>
      <c r="D18" s="42"/>
      <c r="E18" s="42"/>
      <c r="F18" s="42"/>
      <c r="G18" s="42"/>
      <c r="H18" s="42"/>
    </row>
    <row r="19" spans="2:10" x14ac:dyDescent="0.25">
      <c r="B19" s="42" t="s">
        <v>34</v>
      </c>
      <c r="C19" s="52" t="s">
        <v>234</v>
      </c>
      <c r="D19" s="42"/>
      <c r="E19" s="42"/>
      <c r="F19" s="42"/>
      <c r="G19" s="42"/>
      <c r="H19" s="42"/>
    </row>
    <row r="20" spans="2:10" x14ac:dyDescent="0.25">
      <c r="B20" s="42" t="s">
        <v>34</v>
      </c>
      <c r="C20" s="52" t="s">
        <v>249</v>
      </c>
      <c r="D20" s="42"/>
      <c r="E20" s="42"/>
      <c r="F20" s="42"/>
      <c r="G20" s="42"/>
      <c r="H20" s="42"/>
    </row>
    <row r="21" spans="2:10" x14ac:dyDescent="0.25">
      <c r="B21" s="42"/>
      <c r="C21" s="52" t="s">
        <v>264</v>
      </c>
      <c r="D21" s="42"/>
      <c r="E21" s="42"/>
      <c r="F21" s="42"/>
      <c r="G21" s="42"/>
      <c r="H21" s="42"/>
    </row>
    <row r="23" spans="2:10" x14ac:dyDescent="0.25">
      <c r="B23" s="93" t="s">
        <v>518</v>
      </c>
    </row>
    <row r="24" spans="2:10" x14ac:dyDescent="0.25">
      <c r="B24" s="42" t="s">
        <v>34</v>
      </c>
      <c r="C24" s="52" t="str">
        <f>"cd "&amp;L5&amp;"github\"&amp;'Start project'!C13</f>
        <v>cd C:\Users\mariaadelaida\Desktop\"laravel projects"\github\facturasalud</v>
      </c>
      <c r="D24" s="42"/>
      <c r="E24" s="42"/>
      <c r="F24" s="42"/>
      <c r="G24" s="42"/>
      <c r="H24" s="42"/>
      <c r="I24" s="42"/>
      <c r="J24" s="42"/>
    </row>
    <row r="27" spans="2:10" x14ac:dyDescent="0.25">
      <c r="B27" s="54" t="s">
        <v>251</v>
      </c>
    </row>
    <row r="28" spans="2:10" x14ac:dyDescent="0.25">
      <c r="B28" s="16" t="s">
        <v>252</v>
      </c>
    </row>
    <row r="29" spans="2:10" x14ac:dyDescent="0.25">
      <c r="B29" s="42" t="s">
        <v>34</v>
      </c>
      <c r="C29" s="52" t="s">
        <v>233</v>
      </c>
      <c r="D29" s="42"/>
      <c r="E29" s="42"/>
    </row>
    <row r="31" spans="2:10" x14ac:dyDescent="0.25">
      <c r="B31" s="16" t="s">
        <v>245</v>
      </c>
      <c r="D31" s="59" t="s">
        <v>294</v>
      </c>
      <c r="E31" s="91" t="s">
        <v>540</v>
      </c>
      <c r="F31" s="91"/>
      <c r="G31" s="28" t="s">
        <v>217</v>
      </c>
    </row>
    <row r="32" spans="2:10" x14ac:dyDescent="0.25">
      <c r="B32" s="42" t="s">
        <v>34</v>
      </c>
      <c r="C32" s="52" t="s">
        <v>220</v>
      </c>
      <c r="D32" s="42"/>
      <c r="E32" s="42"/>
      <c r="G32" s="28" t="s">
        <v>218</v>
      </c>
    </row>
    <row r="33" spans="2:8" x14ac:dyDescent="0.25">
      <c r="B33" s="42" t="s">
        <v>34</v>
      </c>
      <c r="C33" s="52" t="s">
        <v>293</v>
      </c>
      <c r="D33" s="42"/>
      <c r="E33" s="42"/>
      <c r="G33" s="28" t="s">
        <v>219</v>
      </c>
    </row>
    <row r="34" spans="2:8" x14ac:dyDescent="0.25">
      <c r="B34" s="42" t="s">
        <v>34</v>
      </c>
      <c r="C34" s="52" t="str">
        <f>"git commit -m "&amp;A1&amp;E31&amp;A1</f>
        <v>git commit -m "datepicker bug fixed"</v>
      </c>
      <c r="D34" s="42"/>
      <c r="E34" s="42"/>
      <c r="G34" s="16" t="s">
        <v>267</v>
      </c>
      <c r="H34" s="16" t="s">
        <v>268</v>
      </c>
    </row>
    <row r="35" spans="2:8" x14ac:dyDescent="0.25">
      <c r="B35" s="42" t="s">
        <v>34</v>
      </c>
      <c r="C35" s="52" t="s">
        <v>234</v>
      </c>
      <c r="D35" s="42"/>
      <c r="E35" s="42"/>
    </row>
    <row r="36" spans="2:8" x14ac:dyDescent="0.25">
      <c r="B36" s="42" t="s">
        <v>34</v>
      </c>
      <c r="C36" s="52" t="s">
        <v>249</v>
      </c>
      <c r="D36" s="42"/>
      <c r="E36" s="42"/>
    </row>
    <row r="37" spans="2:8" x14ac:dyDescent="0.25">
      <c r="B37" s="42"/>
      <c r="C37" s="52" t="s">
        <v>264</v>
      </c>
      <c r="D37" s="42"/>
      <c r="E37" s="42"/>
    </row>
    <row r="41" spans="2:8" x14ac:dyDescent="0.25">
      <c r="B41" s="16" t="s">
        <v>270</v>
      </c>
    </row>
    <row r="42" spans="2:8" x14ac:dyDescent="0.25">
      <c r="B42" s="42" t="s">
        <v>34</v>
      </c>
      <c r="C42" s="52" t="s">
        <v>269</v>
      </c>
      <c r="D42" s="42"/>
      <c r="E42" s="42"/>
    </row>
    <row r="45" spans="2:8" x14ac:dyDescent="0.25">
      <c r="B45" s="42" t="s">
        <v>34</v>
      </c>
      <c r="C45" s="52" t="s">
        <v>233</v>
      </c>
      <c r="D45" s="42"/>
      <c r="E45" s="42"/>
    </row>
    <row r="46" spans="2:8" x14ac:dyDescent="0.25">
      <c r="B46" s="42"/>
      <c r="C46" s="52" t="s">
        <v>249</v>
      </c>
      <c r="D46" s="42"/>
      <c r="E46" s="42"/>
    </row>
    <row r="47" spans="2:8" x14ac:dyDescent="0.25">
      <c r="B47" s="42"/>
      <c r="C47" s="52" t="s">
        <v>264</v>
      </c>
      <c r="D47" s="42"/>
      <c r="E47" s="42"/>
    </row>
    <row r="48" spans="2:8" x14ac:dyDescent="0.25">
      <c r="B48" s="16" t="s">
        <v>253</v>
      </c>
    </row>
    <row r="50" spans="2:14" x14ac:dyDescent="0.25">
      <c r="B50" s="16" t="s">
        <v>239</v>
      </c>
    </row>
    <row r="51" spans="2:14" x14ac:dyDescent="0.25">
      <c r="B51" s="16" t="s">
        <v>240</v>
      </c>
      <c r="K51" s="16" t="s">
        <v>238</v>
      </c>
    </row>
    <row r="52" spans="2:14" x14ac:dyDescent="0.25">
      <c r="B52" s="16" t="s">
        <v>241</v>
      </c>
      <c r="K52" s="43" t="s">
        <v>62</v>
      </c>
      <c r="L52" s="44" t="s">
        <v>236</v>
      </c>
      <c r="M52" s="44"/>
      <c r="N52" s="44"/>
    </row>
    <row r="53" spans="2:14" x14ac:dyDescent="0.25">
      <c r="B53" s="16" t="s">
        <v>242</v>
      </c>
      <c r="K53" s="16" t="s">
        <v>237</v>
      </c>
    </row>
    <row r="54" spans="2:14" x14ac:dyDescent="0.25">
      <c r="B54" s="42" t="s">
        <v>34</v>
      </c>
      <c r="C54" s="52" t="s">
        <v>243</v>
      </c>
      <c r="D54" s="42"/>
      <c r="E54" s="42"/>
    </row>
    <row r="55" spans="2:14" x14ac:dyDescent="0.25">
      <c r="B55" s="42" t="s">
        <v>34</v>
      </c>
      <c r="C55" s="52" t="s">
        <v>244</v>
      </c>
      <c r="D55" s="42"/>
      <c r="E55" s="42"/>
    </row>
    <row r="56" spans="2:14" x14ac:dyDescent="0.25">
      <c r="B56" s="46" t="s">
        <v>232</v>
      </c>
    </row>
    <row r="59" spans="2:14" x14ac:dyDescent="0.25">
      <c r="B59" s="16" t="s">
        <v>216</v>
      </c>
    </row>
    <row r="60" spans="2:14" x14ac:dyDescent="0.25">
      <c r="B60" s="42" t="s">
        <v>34</v>
      </c>
      <c r="C60" s="52" t="s">
        <v>215</v>
      </c>
      <c r="D60" s="42"/>
      <c r="E60" s="42"/>
    </row>
    <row r="61" spans="2:14" x14ac:dyDescent="0.25">
      <c r="B61" s="46" t="s">
        <v>224</v>
      </c>
    </row>
    <row r="62" spans="2:14" x14ac:dyDescent="0.25">
      <c r="B62" s="50" t="s">
        <v>225</v>
      </c>
      <c r="C62" s="48" t="s">
        <v>226</v>
      </c>
      <c r="D62" s="47"/>
      <c r="E62" s="16" t="s">
        <v>228</v>
      </c>
    </row>
    <row r="63" spans="2:14" x14ac:dyDescent="0.25">
      <c r="B63" s="50" t="s">
        <v>225</v>
      </c>
      <c r="C63" s="49" t="s">
        <v>227</v>
      </c>
      <c r="D63" s="47"/>
      <c r="E63" s="16" t="s">
        <v>229</v>
      </c>
    </row>
    <row r="64" spans="2:14" x14ac:dyDescent="0.25">
      <c r="B64" s="50"/>
      <c r="C64" s="50" t="s">
        <v>230</v>
      </c>
      <c r="D64" s="50"/>
      <c r="E64" s="16" t="s">
        <v>230</v>
      </c>
    </row>
    <row r="67" spans="2:7" x14ac:dyDescent="0.25">
      <c r="B67" s="54" t="s">
        <v>263</v>
      </c>
    </row>
    <row r="68" spans="2:7" x14ac:dyDescent="0.25">
      <c r="B68" s="16" t="s">
        <v>254</v>
      </c>
      <c r="C68" s="91" t="s">
        <v>172</v>
      </c>
      <c r="D68" s="91"/>
    </row>
    <row r="69" spans="2:7" x14ac:dyDescent="0.25">
      <c r="B69" s="42" t="s">
        <v>34</v>
      </c>
      <c r="C69" s="52" t="str">
        <f>"git branch "&amp;C68</f>
        <v>git branch two</v>
      </c>
      <c r="D69" s="42"/>
      <c r="E69" s="42"/>
    </row>
    <row r="70" spans="2:7" x14ac:dyDescent="0.25">
      <c r="B70" s="42" t="s">
        <v>34</v>
      </c>
      <c r="C70" s="52" t="str">
        <f>"git checkout "&amp;C68</f>
        <v>git checkout two</v>
      </c>
      <c r="D70" s="42"/>
      <c r="E70" s="42"/>
    </row>
    <row r="72" spans="2:7" x14ac:dyDescent="0.25">
      <c r="B72" s="16" t="s">
        <v>255</v>
      </c>
    </row>
    <row r="73" spans="2:7" x14ac:dyDescent="0.25">
      <c r="B73" s="16" t="s">
        <v>256</v>
      </c>
    </row>
    <row r="74" spans="2:7" x14ac:dyDescent="0.25">
      <c r="D74" s="16" t="s">
        <v>257</v>
      </c>
      <c r="E74" s="91" t="s">
        <v>266</v>
      </c>
      <c r="F74" s="91"/>
    </row>
    <row r="75" spans="2:7" x14ac:dyDescent="0.25">
      <c r="B75" s="42" t="s">
        <v>34</v>
      </c>
      <c r="C75" s="52" t="s">
        <v>220</v>
      </c>
      <c r="D75" s="42"/>
      <c r="E75" s="42"/>
    </row>
    <row r="76" spans="2:7" x14ac:dyDescent="0.25">
      <c r="D76" s="16" t="s">
        <v>268</v>
      </c>
      <c r="G76" s="16" t="s">
        <v>267</v>
      </c>
    </row>
    <row r="77" spans="2:7" x14ac:dyDescent="0.25">
      <c r="B77" s="42" t="s">
        <v>34</v>
      </c>
      <c r="C77" s="52" t="str">
        <f>"git commit -m "&amp;$A$1&amp;E74&amp;$A$1</f>
        <v>git commit -m "fixing request bug"</v>
      </c>
      <c r="D77" s="42"/>
      <c r="E77" s="42"/>
    </row>
    <row r="78" spans="2:7" x14ac:dyDescent="0.25">
      <c r="B78" s="42" t="s">
        <v>34</v>
      </c>
      <c r="C78" s="52" t="str">
        <f>"git push origin "&amp;C68</f>
        <v>git push origin two</v>
      </c>
      <c r="D78" s="42"/>
      <c r="E78" s="42"/>
    </row>
    <row r="80" spans="2:7" x14ac:dyDescent="0.25">
      <c r="B80" s="42" t="s">
        <v>34</v>
      </c>
      <c r="C80" s="52" t="str">
        <f>"git pull origin "&amp;C68</f>
        <v>git pull origin two</v>
      </c>
      <c r="D80" s="42"/>
      <c r="E80" s="42"/>
      <c r="F80" s="16" t="s">
        <v>258</v>
      </c>
    </row>
    <row r="82" spans="2:5" x14ac:dyDescent="0.25">
      <c r="B82" s="16" t="s">
        <v>259</v>
      </c>
    </row>
    <row r="83" spans="2:5" x14ac:dyDescent="0.25">
      <c r="B83" s="42" t="s">
        <v>34</v>
      </c>
      <c r="C83" s="52" t="s">
        <v>260</v>
      </c>
      <c r="D83" s="42"/>
      <c r="E83" s="42"/>
    </row>
    <row r="84" spans="2:5" x14ac:dyDescent="0.25">
      <c r="B84" s="42" t="s">
        <v>34</v>
      </c>
      <c r="C84" s="52" t="str">
        <f>"git merge "&amp;C68</f>
        <v>git merge two</v>
      </c>
      <c r="D84" s="42"/>
      <c r="E84" s="42"/>
    </row>
    <row r="85" spans="2:5" x14ac:dyDescent="0.25">
      <c r="B85" s="42" t="s">
        <v>34</v>
      </c>
      <c r="C85" s="52" t="s">
        <v>235</v>
      </c>
      <c r="D85" s="42"/>
      <c r="E85" s="42"/>
    </row>
    <row r="87" spans="2:5" x14ac:dyDescent="0.25">
      <c r="B87" s="16" t="s">
        <v>262</v>
      </c>
    </row>
    <row r="88" spans="2:5" x14ac:dyDescent="0.25">
      <c r="B88" s="16" t="s">
        <v>261</v>
      </c>
    </row>
    <row r="89" spans="2:5" x14ac:dyDescent="0.25">
      <c r="B89" s="43" t="s">
        <v>62</v>
      </c>
      <c r="C89" s="44" t="str">
        <f>"git branch -d "&amp;C68</f>
        <v>git branch -d two</v>
      </c>
      <c r="D89" s="55"/>
      <c r="E89" s="55"/>
    </row>
    <row r="90" spans="2:5" x14ac:dyDescent="0.25">
      <c r="B90" s="43" t="s">
        <v>62</v>
      </c>
      <c r="C90" s="44" t="str">
        <f>"git push origin --delete "&amp;C68</f>
        <v>git push origin --delete two</v>
      </c>
      <c r="D90" s="55"/>
      <c r="E90" s="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9"/>
  <sheetViews>
    <sheetView topLeftCell="A7" zoomScaleNormal="100" workbookViewId="0">
      <selection activeCell="C15" sqref="C15:C17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x14ac:dyDescent="0.25"/>
    <row r="8" spans="1:8" x14ac:dyDescent="0.25">
      <c r="B8" s="2" t="s">
        <v>52</v>
      </c>
      <c r="G8" s="90" t="s">
        <v>485</v>
      </c>
      <c r="H8" s="3" t="s">
        <v>486</v>
      </c>
    </row>
    <row r="9" spans="1:8" x14ac:dyDescent="0.25">
      <c r="B9" s="8" t="s">
        <v>53</v>
      </c>
      <c r="C9" s="8"/>
      <c r="D9" s="8"/>
      <c r="E9" s="8"/>
    </row>
    <row r="10" spans="1:8" x14ac:dyDescent="0.25">
      <c r="B10" s="7" t="s">
        <v>51</v>
      </c>
    </row>
    <row r="11" spans="1:8" x14ac:dyDescent="0.25"/>
    <row r="12" spans="1:8" x14ac:dyDescent="0.25">
      <c r="B12" s="2" t="s">
        <v>145</v>
      </c>
    </row>
    <row r="13" spans="1:8" x14ac:dyDescent="0.25">
      <c r="B13" s="2" t="s">
        <v>56</v>
      </c>
      <c r="C13" s="1" t="s">
        <v>541</v>
      </c>
      <c r="D13" s="1"/>
    </row>
    <row r="14" spans="1:8" x14ac:dyDescent="0.25">
      <c r="B14" s="2" t="s">
        <v>102</v>
      </c>
      <c r="C14" s="1" t="s">
        <v>141</v>
      </c>
      <c r="D14" s="1"/>
    </row>
    <row r="15" spans="1:8" x14ac:dyDescent="0.25">
      <c r="B15" s="8" t="s">
        <v>34</v>
      </c>
      <c r="C15" s="8" t="str">
        <f>+"cd "&amp;H8&amp;C14</f>
        <v>cd C:\Users\mariaadelaida\Desktop\"laravel projects"\github</v>
      </c>
      <c r="D15" s="8"/>
      <c r="E15" s="8"/>
      <c r="F15" s="8"/>
      <c r="G15" s="8"/>
    </row>
    <row r="16" spans="1:8" x14ac:dyDescent="0.25">
      <c r="B16" s="8" t="s">
        <v>34</v>
      </c>
      <c r="C16" s="8" t="str">
        <f>"mkdir "&amp;C13</f>
        <v>mkdir facturasalud</v>
      </c>
      <c r="D16" s="31"/>
      <c r="E16" s="8"/>
      <c r="F16" s="8"/>
      <c r="G16" s="8"/>
    </row>
    <row r="17" spans="2:12" x14ac:dyDescent="0.25">
      <c r="B17" s="8" t="s">
        <v>34</v>
      </c>
      <c r="C17" s="8" t="str">
        <f>"cd "&amp;C13</f>
        <v>cd facturasalud</v>
      </c>
      <c r="D17" s="8"/>
      <c r="E17" s="8"/>
      <c r="F17" s="8"/>
      <c r="G17" s="8"/>
    </row>
    <row r="18" spans="2:12" x14ac:dyDescent="0.25"/>
    <row r="19" spans="2:12" x14ac:dyDescent="0.25">
      <c r="B19" s="2" t="s">
        <v>187</v>
      </c>
    </row>
    <row r="20" spans="2:12" x14ac:dyDescent="0.25">
      <c r="B20" s="8" t="s">
        <v>34</v>
      </c>
      <c r="C20" s="8" t="s">
        <v>0</v>
      </c>
      <c r="D20" s="8"/>
      <c r="E20" s="8"/>
      <c r="F20" s="8"/>
      <c r="G20" s="8"/>
    </row>
    <row r="21" spans="2:12" x14ac:dyDescent="0.25">
      <c r="B21" s="8" t="s">
        <v>34</v>
      </c>
      <c r="C21" s="8" t="s">
        <v>3</v>
      </c>
      <c r="D21" s="8"/>
      <c r="E21" s="8"/>
      <c r="F21" s="8"/>
      <c r="G21" s="8"/>
    </row>
    <row r="22" spans="2:12" x14ac:dyDescent="0.25"/>
    <row r="23" spans="2:12" x14ac:dyDescent="0.25">
      <c r="B23" s="2" t="s">
        <v>146</v>
      </c>
    </row>
    <row r="24" spans="2:12" x14ac:dyDescent="0.25">
      <c r="B24" s="8" t="s">
        <v>34</v>
      </c>
      <c r="C24" s="8" t="str">
        <f>"cd "&amp;H8&amp;C14&amp;"\"&amp;C13</f>
        <v>cd C:\Users\mariaadelaida\Desktop\"laravel projects"\github\facturasalud</v>
      </c>
      <c r="D24" s="8"/>
      <c r="E24" s="8"/>
      <c r="F24" s="8"/>
      <c r="G24" s="8"/>
    </row>
    <row r="25" spans="2:12" x14ac:dyDescent="0.25"/>
    <row r="26" spans="2:12" x14ac:dyDescent="0.25">
      <c r="B26" s="2" t="s">
        <v>123</v>
      </c>
    </row>
    <row r="27" spans="2:12" x14ac:dyDescent="0.25">
      <c r="B27" s="19" t="s">
        <v>62</v>
      </c>
      <c r="C27" s="20" t="s">
        <v>124</v>
      </c>
      <c r="D27" s="21"/>
    </row>
    <row r="28" spans="2:12" x14ac:dyDescent="0.25"/>
    <row r="29" spans="2:12" x14ac:dyDescent="0.25">
      <c r="B29" s="2" t="s">
        <v>110</v>
      </c>
    </row>
    <row r="30" spans="2:12" x14ac:dyDescent="0.25">
      <c r="B30" s="19" t="s">
        <v>62</v>
      </c>
      <c r="C30" s="20" t="s">
        <v>4</v>
      </c>
      <c r="D30" s="21"/>
    </row>
    <row r="31" spans="2:12" x14ac:dyDescent="0.25">
      <c r="B31" s="2" t="s">
        <v>111</v>
      </c>
      <c r="L31" s="3" t="s">
        <v>141</v>
      </c>
    </row>
    <row r="32" spans="2:12" x14ac:dyDescent="0.25">
      <c r="L32" s="3" t="s">
        <v>140</v>
      </c>
    </row>
    <row r="33" spans="2:5" ht="21" x14ac:dyDescent="0.35">
      <c r="B33" s="94" t="s">
        <v>186</v>
      </c>
      <c r="C33" s="95"/>
      <c r="D33" s="95"/>
      <c r="E33" s="95"/>
    </row>
    <row r="34" spans="2:5" x14ac:dyDescent="0.25">
      <c r="B34" s="27"/>
    </row>
    <row r="35" spans="2:5" x14ac:dyDescent="0.25">
      <c r="B35" s="27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113"/>
  <sheetViews>
    <sheetView topLeftCell="A7" zoomScaleNormal="100" workbookViewId="0">
      <pane ySplit="3" topLeftCell="A36" activePane="bottomLeft" state="frozen"/>
      <selection activeCell="A7" sqref="A7"/>
      <selection pane="bottomLeft" activeCell="C63" sqref="C63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60" customFormat="1" x14ac:dyDescent="0.25"/>
    <row r="8" spans="1:8" s="60" customFormat="1" x14ac:dyDescent="0.25"/>
    <row r="9" spans="1:8" s="60" customFormat="1" x14ac:dyDescent="0.25"/>
    <row r="10" spans="1:8" x14ac:dyDescent="0.25">
      <c r="B10" s="2" t="s">
        <v>52</v>
      </c>
      <c r="G10" s="90" t="s">
        <v>485</v>
      </c>
      <c r="H10" s="3" t="s">
        <v>486</v>
      </c>
    </row>
    <row r="11" spans="1:8" x14ac:dyDescent="0.25">
      <c r="B11" s="8" t="s">
        <v>53</v>
      </c>
      <c r="C11" s="8"/>
      <c r="D11" s="8"/>
      <c r="E11" s="8"/>
    </row>
    <row r="12" spans="1:8" x14ac:dyDescent="0.25">
      <c r="B12" s="7" t="s">
        <v>51</v>
      </c>
    </row>
    <row r="13" spans="1:8" x14ac:dyDescent="0.25"/>
    <row r="14" spans="1:8" x14ac:dyDescent="0.25">
      <c r="B14" s="27" t="s">
        <v>182</v>
      </c>
    </row>
    <row r="15" spans="1:8" hidden="1" x14ac:dyDescent="0.25"/>
    <row r="16" spans="1:8" hidden="1" x14ac:dyDescent="0.25">
      <c r="B16" s="2" t="s">
        <v>56</v>
      </c>
      <c r="C16" s="28" t="str">
        <f>'Start project'!C13</f>
        <v>facturasalud</v>
      </c>
      <c r="D16" s="13"/>
    </row>
    <row r="17" spans="2:7" hidden="1" x14ac:dyDescent="0.25">
      <c r="B17" s="2" t="s">
        <v>102</v>
      </c>
      <c r="C17" s="28" t="str">
        <f>'Start project'!C14</f>
        <v>github</v>
      </c>
      <c r="D17" s="13"/>
    </row>
    <row r="18" spans="2:7" x14ac:dyDescent="0.25"/>
    <row r="19" spans="2:7" x14ac:dyDescent="0.25">
      <c r="B19" s="2" t="s">
        <v>183</v>
      </c>
    </row>
    <row r="20" spans="2:7" x14ac:dyDescent="0.25">
      <c r="B20" s="8" t="s">
        <v>34</v>
      </c>
      <c r="C20" s="8" t="str">
        <f>"cd "&amp;H10&amp;C17&amp;"\"&amp;C16</f>
        <v>cd C:\Users\mariaadelaida\Desktop\"laravel projects"\github\facturasalud</v>
      </c>
      <c r="D20" s="8"/>
      <c r="E20" s="8"/>
      <c r="F20" s="8"/>
      <c r="G20" s="8"/>
    </row>
    <row r="21" spans="2:7" x14ac:dyDescent="0.25">
      <c r="B21" s="8" t="s">
        <v>34</v>
      </c>
      <c r="C21" s="8" t="s">
        <v>0</v>
      </c>
      <c r="D21" s="8"/>
      <c r="E21" s="8"/>
      <c r="F21" s="8"/>
      <c r="G21" s="8"/>
    </row>
    <row r="22" spans="2:7" x14ac:dyDescent="0.25">
      <c r="B22" s="8" t="s">
        <v>34</v>
      </c>
      <c r="C22" s="8" t="s">
        <v>3</v>
      </c>
      <c r="D22" s="8"/>
      <c r="E22" s="8"/>
      <c r="F22" s="8"/>
      <c r="G22" s="8"/>
    </row>
    <row r="23" spans="2:7" x14ac:dyDescent="0.25"/>
    <row r="24" spans="2:7" x14ac:dyDescent="0.25">
      <c r="B24" s="2" t="s">
        <v>184</v>
      </c>
    </row>
    <row r="25" spans="2:7" x14ac:dyDescent="0.25">
      <c r="B25" s="8" t="s">
        <v>34</v>
      </c>
      <c r="C25" s="8" t="str">
        <f>"cd "&amp;H10&amp;C17&amp;"\"&amp;C16</f>
        <v>cd C:\Users\mariaadelaida\Desktop\"laravel projects"\github\facturasalud</v>
      </c>
      <c r="D25" s="8"/>
      <c r="E25" s="8"/>
      <c r="F25" s="8"/>
      <c r="G25" s="8"/>
    </row>
    <row r="26" spans="2:7" x14ac:dyDescent="0.25"/>
    <row r="27" spans="2:7" s="32" customFormat="1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>
      <c r="B32" s="2" t="s">
        <v>185</v>
      </c>
    </row>
    <row r="33" spans="2:8" x14ac:dyDescent="0.25">
      <c r="B33" s="2" t="s">
        <v>119</v>
      </c>
      <c r="C33" s="10"/>
      <c r="E33" s="10"/>
    </row>
    <row r="34" spans="2:8" x14ac:dyDescent="0.25">
      <c r="C34" s="10"/>
      <c r="E34" s="10"/>
    </row>
    <row r="35" spans="2:8" x14ac:dyDescent="0.25">
      <c r="B35" s="2" t="s">
        <v>114</v>
      </c>
      <c r="C35" s="10"/>
      <c r="D35" s="1" t="s">
        <v>533</v>
      </c>
      <c r="E35" s="10" t="s">
        <v>112</v>
      </c>
      <c r="G35" s="3" t="s">
        <v>113</v>
      </c>
      <c r="H35" s="23" t="str">
        <f>D35</f>
        <v>mssgs</v>
      </c>
    </row>
    <row r="36" spans="2:8" x14ac:dyDescent="0.25">
      <c r="B36" s="2" t="s">
        <v>115</v>
      </c>
      <c r="C36" s="10"/>
      <c r="D36" s="1" t="s">
        <v>292</v>
      </c>
      <c r="E36" s="10" t="str">
        <f>E35&amp;D35&amp;"/"</f>
        <v>app/views/mssgs/</v>
      </c>
      <c r="G36" s="3" t="s">
        <v>116</v>
      </c>
      <c r="H36" s="23" t="str">
        <f>D36&amp;".blade.php"</f>
        <v>a_base.blade.php</v>
      </c>
    </row>
    <row r="37" spans="2:8" x14ac:dyDescent="0.25">
      <c r="B37" s="8" t="s">
        <v>34</v>
      </c>
      <c r="C37" s="8" t="str">
        <f>"mkdir "&amp;E35&amp;D35</f>
        <v>mkdir app/views/mssgs</v>
      </c>
      <c r="D37" s="8"/>
      <c r="E37" s="8"/>
      <c r="F37" s="8"/>
      <c r="G37" s="8"/>
      <c r="H37" s="10"/>
    </row>
    <row r="38" spans="2:8" x14ac:dyDescent="0.25">
      <c r="B38" s="8" t="s">
        <v>34</v>
      </c>
      <c r="C38" s="8" t="str">
        <f>"php artisan generate:view --path="&amp;B3&amp;"app/views/"&amp;D35&amp;B3&amp;" "&amp;D36</f>
        <v>php artisan generate:view --path="app/views/mssgs" a_base</v>
      </c>
      <c r="D38" s="8"/>
      <c r="E38" s="8"/>
      <c r="F38" s="8"/>
      <c r="G38" s="8"/>
      <c r="H38" s="3" t="str">
        <f>UPPER(LEFT(D35,1))&amp;RIGHT(D35,LEN(D35)-1)&amp;"Controller"</f>
        <v>MssgsController</v>
      </c>
    </row>
    <row r="39" spans="2:8" x14ac:dyDescent="0.25">
      <c r="B39" s="8" t="s">
        <v>34</v>
      </c>
      <c r="C39" s="8" t="str">
        <f>A4&amp;B5&amp;H38</f>
        <v>php artisan generate:controller MssgsController</v>
      </c>
      <c r="D39" s="8"/>
      <c r="E39" s="8"/>
      <c r="F39" s="8"/>
      <c r="G39" s="8"/>
    </row>
    <row r="40" spans="2:8" x14ac:dyDescent="0.25">
      <c r="C40" s="10"/>
      <c r="E40" s="10"/>
    </row>
    <row r="41" spans="2:8" x14ac:dyDescent="0.25">
      <c r="B41" s="2" t="s">
        <v>117</v>
      </c>
      <c r="C41" s="10" t="str">
        <f>E36&amp;H36</f>
        <v>app/views/mssgs/a_base.blade.php</v>
      </c>
      <c r="E41" s="10"/>
      <c r="F41" s="2" t="s">
        <v>118</v>
      </c>
    </row>
    <row r="42" spans="2:8" x14ac:dyDescent="0.25">
      <c r="C42" s="10"/>
      <c r="E42" s="10"/>
    </row>
    <row r="43" spans="2:8" x14ac:dyDescent="0.25">
      <c r="C43" s="25" t="s">
        <v>120</v>
      </c>
      <c r="D43" s="13"/>
      <c r="E43" s="13"/>
      <c r="F43" s="13"/>
      <c r="G43" s="13"/>
      <c r="H43" s="13"/>
    </row>
    <row r="44" spans="2:8" x14ac:dyDescent="0.25">
      <c r="C44" s="26" t="s">
        <v>142</v>
      </c>
      <c r="D44" s="13"/>
      <c r="E44" s="13" t="s">
        <v>65</v>
      </c>
      <c r="F44" s="13"/>
      <c r="G44" s="13"/>
      <c r="H44" s="13"/>
    </row>
    <row r="45" spans="2:8" x14ac:dyDescent="0.25">
      <c r="C45" s="26" t="s">
        <v>143</v>
      </c>
      <c r="D45" s="13"/>
      <c r="E45" s="13"/>
      <c r="F45" s="13"/>
      <c r="G45" s="13"/>
      <c r="H45" s="13"/>
    </row>
    <row r="46" spans="2:8" x14ac:dyDescent="0.25">
      <c r="C46" s="25" t="s">
        <v>144</v>
      </c>
      <c r="D46" s="13"/>
      <c r="E46" s="13"/>
      <c r="F46" s="13"/>
      <c r="G46" s="13"/>
      <c r="H46" s="13"/>
    </row>
    <row r="47" spans="2:8" x14ac:dyDescent="0.25">
      <c r="C47" s="13"/>
      <c r="D47" s="18" t="s">
        <v>66</v>
      </c>
      <c r="E47" s="13"/>
      <c r="F47" s="13"/>
      <c r="G47" s="13"/>
      <c r="H47" s="13"/>
    </row>
    <row r="48" spans="2:8" x14ac:dyDescent="0.25">
      <c r="C48" s="25" t="s">
        <v>143</v>
      </c>
      <c r="D48" s="13"/>
      <c r="E48" s="13"/>
      <c r="F48" s="13"/>
      <c r="G48" s="13"/>
      <c r="H48" s="13"/>
    </row>
    <row r="49" spans="2:8" x14ac:dyDescent="0.25">
      <c r="C49" s="25" t="s">
        <v>400</v>
      </c>
      <c r="D49" s="13"/>
      <c r="E49" s="13"/>
      <c r="F49" s="13"/>
      <c r="G49" s="13"/>
      <c r="H49" s="13"/>
    </row>
    <row r="50" spans="2:8" x14ac:dyDescent="0.25">
      <c r="C50" s="13" t="s">
        <v>401</v>
      </c>
      <c r="D50" s="13"/>
      <c r="E50" s="13"/>
      <c r="F50" s="13"/>
      <c r="G50" s="13"/>
      <c r="H50" s="13"/>
    </row>
    <row r="51" spans="2:8" x14ac:dyDescent="0.25">
      <c r="C51" s="18" t="s">
        <v>402</v>
      </c>
      <c r="D51" s="13"/>
      <c r="E51" s="13"/>
      <c r="F51" s="13"/>
      <c r="G51" s="13"/>
      <c r="H51" s="13"/>
    </row>
    <row r="52" spans="2:8" x14ac:dyDescent="0.25">
      <c r="C52" s="13"/>
      <c r="D52" s="13"/>
      <c r="E52" s="13"/>
      <c r="F52" s="13"/>
      <c r="G52" s="13"/>
      <c r="H52" s="13"/>
    </row>
    <row r="53" spans="2:8" x14ac:dyDescent="0.25">
      <c r="C53" s="18" t="s">
        <v>403</v>
      </c>
      <c r="D53" s="13"/>
      <c r="E53" s="13"/>
      <c r="F53" s="13"/>
      <c r="G53" s="13"/>
      <c r="H53" s="13"/>
    </row>
    <row r="54" spans="2:8" x14ac:dyDescent="0.25">
      <c r="C54" s="25" t="s">
        <v>143</v>
      </c>
      <c r="D54" s="13"/>
      <c r="E54" s="13"/>
      <c r="F54" s="13"/>
      <c r="G54" s="13"/>
      <c r="H54" s="13"/>
    </row>
    <row r="55" spans="2:8" x14ac:dyDescent="0.25"/>
    <row r="56" spans="2:8" x14ac:dyDescent="0.25">
      <c r="B56" s="2" t="s">
        <v>117</v>
      </c>
      <c r="C56" s="2" t="s">
        <v>54</v>
      </c>
      <c r="D56" s="2" t="str">
        <f>" app/Controllers/"&amp;H38&amp;".php"</f>
        <v xml:space="preserve"> app/Controllers/MssgsController.php</v>
      </c>
      <c r="G56" s="3" t="str">
        <f>UPPER(LEFT(D36,1))&amp;RIGHT(D36,LEN(D36)-1)</f>
        <v>A_base</v>
      </c>
      <c r="H56" s="2" t="s">
        <v>118</v>
      </c>
    </row>
    <row r="57" spans="2:8" x14ac:dyDescent="0.25">
      <c r="C57" s="18" t="str">
        <f>"public function getIndex() {"</f>
        <v>public function getIndex() {</v>
      </c>
      <c r="D57" s="13"/>
      <c r="E57" s="13"/>
      <c r="F57" s="13"/>
      <c r="G57" s="13"/>
      <c r="H57" s="13"/>
    </row>
    <row r="58" spans="2:8" x14ac:dyDescent="0.25">
      <c r="C58" s="18" t="str">
        <f>"    return View::make('"&amp;D35&amp;IF(D35&lt;&gt;"",".","")&amp;D36&amp;"'"&amp;")"</f>
        <v xml:space="preserve">    return View::make('mssgs.a_base')</v>
      </c>
      <c r="D58" s="13"/>
      <c r="E58" s="13"/>
      <c r="F58" s="13"/>
      <c r="G58" s="13"/>
      <c r="H58" s="13"/>
    </row>
    <row r="59" spans="2:8" x14ac:dyDescent="0.25">
      <c r="C59" s="18" t="str">
        <f>"      -&gt;with('title','"&amp;D36&amp;"');"</f>
        <v xml:space="preserve">      -&gt;with('title','a_base');</v>
      </c>
      <c r="D59" s="13"/>
      <c r="E59" s="13"/>
      <c r="F59" s="13"/>
      <c r="G59" s="13"/>
      <c r="H59" s="13"/>
    </row>
    <row r="60" spans="2:8" x14ac:dyDescent="0.25">
      <c r="C60" s="18" t="s">
        <v>122</v>
      </c>
      <c r="D60" s="13"/>
      <c r="E60" s="13"/>
      <c r="F60" s="13"/>
      <c r="G60" s="13"/>
      <c r="H60" s="13"/>
    </row>
    <row r="61" spans="2:8" x14ac:dyDescent="0.25">
      <c r="C61" s="10"/>
      <c r="E61" s="10"/>
    </row>
    <row r="62" spans="2:8" x14ac:dyDescent="0.25">
      <c r="B62" s="2" t="s">
        <v>121</v>
      </c>
      <c r="C62" s="10"/>
      <c r="E62" s="10"/>
    </row>
    <row r="63" spans="2:8" x14ac:dyDescent="0.25">
      <c r="C63" s="18" t="str">
        <f>B6&amp;D35&amp;C1&amp;H38&amp;C2</f>
        <v>Route::controller('mssgs','MssgsController');</v>
      </c>
      <c r="D63" s="13"/>
      <c r="E63" s="13"/>
      <c r="F63" s="13"/>
      <c r="G63" s="13"/>
      <c r="H63" s="13"/>
    </row>
    <row r="64" spans="2:8" x14ac:dyDescent="0.25">
      <c r="C64" s="10"/>
      <c r="E64" s="10"/>
    </row>
    <row r="65" spans="2:5" ht="23.25" x14ac:dyDescent="0.35">
      <c r="B65" s="96" t="s">
        <v>188</v>
      </c>
      <c r="C65" s="95"/>
      <c r="D65" s="95"/>
      <c r="E65" s="10"/>
    </row>
    <row r="66" spans="2:5" x14ac:dyDescent="0.25"/>
    <row r="67" spans="2:5" hidden="1" x14ac:dyDescent="0.25"/>
    <row r="68" spans="2:5" hidden="1" x14ac:dyDescent="0.25"/>
    <row r="69" spans="2:5" hidden="1" x14ac:dyDescent="0.25"/>
    <row r="70" spans="2:5" hidden="1" x14ac:dyDescent="0.25"/>
    <row r="71" spans="2:5" hidden="1" x14ac:dyDescent="0.25"/>
    <row r="72" spans="2:5" hidden="1" x14ac:dyDescent="0.25"/>
    <row r="73" spans="2:5" hidden="1" x14ac:dyDescent="0.25"/>
    <row r="74" spans="2:5" hidden="1" x14ac:dyDescent="0.25"/>
    <row r="75" spans="2:5" hidden="1" x14ac:dyDescent="0.25"/>
    <row r="76" spans="2:5" hidden="1" x14ac:dyDescent="0.25"/>
    <row r="77" spans="2:5" hidden="1" x14ac:dyDescent="0.25"/>
    <row r="78" spans="2:5" hidden="1" x14ac:dyDescent="0.25"/>
    <row r="79" spans="2:5" hidden="1" x14ac:dyDescent="0.25"/>
    <row r="80" spans="2: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x14ac:dyDescent="0.25"/>
    <row r="113" x14ac:dyDescent="0.25"/>
  </sheetData>
  <mergeCells count="1">
    <mergeCell ref="B65:D65"/>
  </mergeCells>
  <hyperlinks>
    <hyperlink ref="B65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4" spans="2:10" x14ac:dyDescent="0.25">
      <c r="B4" s="2" t="s">
        <v>499</v>
      </c>
    </row>
    <row r="5" spans="2:10" x14ac:dyDescent="0.25">
      <c r="B5" s="27" t="s">
        <v>500</v>
      </c>
      <c r="C5" s="2" t="s">
        <v>504</v>
      </c>
    </row>
    <row r="6" spans="2:10" x14ac:dyDescent="0.25">
      <c r="B6" s="2" t="s">
        <v>501</v>
      </c>
    </row>
    <row r="7" spans="2:10" x14ac:dyDescent="0.25">
      <c r="B7" s="2" t="s">
        <v>502</v>
      </c>
      <c r="C7" s="2" t="s">
        <v>505</v>
      </c>
    </row>
    <row r="8" spans="2:10" x14ac:dyDescent="0.25">
      <c r="B8" s="2" t="s">
        <v>503</v>
      </c>
    </row>
    <row r="10" spans="2:10" x14ac:dyDescent="0.25">
      <c r="J10" s="2" t="s">
        <v>515</v>
      </c>
    </row>
    <row r="11" spans="2:10" x14ac:dyDescent="0.25">
      <c r="B11" s="2" t="s">
        <v>506</v>
      </c>
      <c r="G11" s="2" t="s">
        <v>511</v>
      </c>
    </row>
    <row r="12" spans="2:10" x14ac:dyDescent="0.25">
      <c r="B12" s="2" t="s">
        <v>507</v>
      </c>
      <c r="G12" s="2" t="s">
        <v>512</v>
      </c>
    </row>
    <row r="13" spans="2:10" x14ac:dyDescent="0.25">
      <c r="B13" s="2" t="s">
        <v>508</v>
      </c>
      <c r="G13" s="2" t="s">
        <v>513</v>
      </c>
    </row>
    <row r="14" spans="2:10" x14ac:dyDescent="0.25">
      <c r="B14" s="2" t="s">
        <v>509</v>
      </c>
      <c r="G14" s="2" t="s">
        <v>514</v>
      </c>
    </row>
    <row r="15" spans="2:10" x14ac:dyDescent="0.25">
      <c r="B15" s="2" t="s">
        <v>510</v>
      </c>
    </row>
    <row r="16" spans="2:10" x14ac:dyDescent="0.25">
      <c r="B16" s="2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pane ySplit="3" topLeftCell="A4" activePane="bottomLeft" state="frozen"/>
      <selection pane="bottomLeft" activeCell="B11" sqref="B11"/>
    </sheetView>
  </sheetViews>
  <sheetFormatPr baseColWidth="10" defaultColWidth="11.42578125" defaultRowHeight="15" x14ac:dyDescent="0.25"/>
  <cols>
    <col min="1" max="16384" width="11.42578125" style="2"/>
  </cols>
  <sheetData>
    <row r="1" spans="2:2" s="1" customFormat="1" x14ac:dyDescent="0.25"/>
    <row r="2" spans="2:2" s="1" customFormat="1" x14ac:dyDescent="0.25"/>
    <row r="3" spans="2:2" s="1" customFormat="1" x14ac:dyDescent="0.25"/>
    <row r="5" spans="2:2" x14ac:dyDescent="0.25">
      <c r="B5" s="27" t="s">
        <v>495</v>
      </c>
    </row>
    <row r="7" spans="2:2" x14ac:dyDescent="0.25">
      <c r="B7" s="2" t="s">
        <v>492</v>
      </c>
    </row>
    <row r="9" spans="2:2" x14ac:dyDescent="0.25">
      <c r="B9" s="2" t="s">
        <v>493</v>
      </c>
    </row>
    <row r="11" spans="2:2" x14ac:dyDescent="0.25">
      <c r="B11" s="2" t="s">
        <v>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112"/>
  <sheetViews>
    <sheetView topLeftCell="A7" zoomScaleNormal="100" workbookViewId="0">
      <pane ySplit="3" topLeftCell="A31" activePane="bottomLeft" state="frozen"/>
      <selection activeCell="A7" sqref="A7"/>
      <selection pane="bottomLeft" activeCell="C42" sqref="C42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1" customFormat="1" x14ac:dyDescent="0.25"/>
    <row r="8" spans="1:8" s="1" customFormat="1" x14ac:dyDescent="0.25"/>
    <row r="9" spans="1:8" s="1" customFormat="1" x14ac:dyDescent="0.25"/>
    <row r="10" spans="1:8" x14ac:dyDescent="0.25">
      <c r="G10" s="90" t="s">
        <v>485</v>
      </c>
      <c r="H10" s="3" t="s">
        <v>486</v>
      </c>
    </row>
    <row r="11" spans="1:8" x14ac:dyDescent="0.25">
      <c r="B11" s="2" t="s">
        <v>52</v>
      </c>
    </row>
    <row r="12" spans="1:8" x14ac:dyDescent="0.25">
      <c r="B12" s="8" t="s">
        <v>53</v>
      </c>
      <c r="C12" s="8"/>
      <c r="D12" s="8"/>
      <c r="E12" s="8"/>
    </row>
    <row r="13" spans="1:8" x14ac:dyDescent="0.25">
      <c r="B13" s="7" t="s">
        <v>51</v>
      </c>
    </row>
    <row r="14" spans="1:8" x14ac:dyDescent="0.25"/>
    <row r="15" spans="1:8" x14ac:dyDescent="0.25">
      <c r="B15" s="27" t="s">
        <v>182</v>
      </c>
    </row>
    <row r="16" spans="1:8" hidden="1" x14ac:dyDescent="0.25"/>
    <row r="17" spans="2:7" hidden="1" x14ac:dyDescent="0.25">
      <c r="B17" s="2" t="s">
        <v>56</v>
      </c>
      <c r="C17" s="28" t="str">
        <f>'Start project'!C13</f>
        <v>facturasalud</v>
      </c>
      <c r="D17" s="13"/>
    </row>
    <row r="18" spans="2:7" hidden="1" x14ac:dyDescent="0.25">
      <c r="B18" s="2" t="s">
        <v>102</v>
      </c>
      <c r="C18" s="28" t="str">
        <f>'Start project'!C14</f>
        <v>github</v>
      </c>
      <c r="D18" s="13"/>
    </row>
    <row r="19" spans="2:7" x14ac:dyDescent="0.25"/>
    <row r="20" spans="2:7" x14ac:dyDescent="0.25">
      <c r="B20" s="2" t="s">
        <v>183</v>
      </c>
    </row>
    <row r="21" spans="2:7" x14ac:dyDescent="0.25">
      <c r="B21" s="8" t="s">
        <v>34</v>
      </c>
      <c r="C21" s="8" t="str">
        <f>"cd "&amp;H10&amp;C18&amp;"\"&amp;C17</f>
        <v>cd C:\Users\mariaadelaida\Desktop\"laravel projects"\github\facturasalud</v>
      </c>
      <c r="D21" s="8"/>
      <c r="E21" s="8"/>
      <c r="F21" s="8"/>
      <c r="G21" s="8"/>
    </row>
    <row r="22" spans="2:7" x14ac:dyDescent="0.25">
      <c r="B22" s="8" t="s">
        <v>34</v>
      </c>
      <c r="C22" s="8" t="s">
        <v>0</v>
      </c>
      <c r="D22" s="8"/>
      <c r="E22" s="8"/>
      <c r="F22" s="8"/>
      <c r="G22" s="8"/>
    </row>
    <row r="23" spans="2:7" x14ac:dyDescent="0.25">
      <c r="B23" s="8" t="s">
        <v>34</v>
      </c>
      <c r="C23" s="8" t="s">
        <v>3</v>
      </c>
      <c r="D23" s="8"/>
      <c r="E23" s="8"/>
      <c r="F23" s="8"/>
      <c r="G23" s="8"/>
    </row>
    <row r="24" spans="2:7" x14ac:dyDescent="0.25"/>
    <row r="25" spans="2:7" x14ac:dyDescent="0.25">
      <c r="B25" s="2" t="s">
        <v>184</v>
      </c>
    </row>
    <row r="26" spans="2:7" x14ac:dyDescent="0.25">
      <c r="B26" s="8" t="s">
        <v>34</v>
      </c>
      <c r="C26" s="8" t="str">
        <f>"cd "&amp;H10&amp;C18&amp;"\"&amp;C17</f>
        <v>cd C:\Users\mariaadelaida\Desktop\"laravel projects"\github\facturasalud</v>
      </c>
      <c r="D26" s="8"/>
      <c r="E26" s="8"/>
      <c r="F26" s="8"/>
      <c r="G26" s="8"/>
    </row>
    <row r="27" spans="2:7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/>
    <row r="33" spans="2:19" x14ac:dyDescent="0.25">
      <c r="F33" s="2" t="s">
        <v>152</v>
      </c>
    </row>
    <row r="34" spans="2:19" x14ac:dyDescent="0.25">
      <c r="B34" s="2" t="s">
        <v>6</v>
      </c>
      <c r="C34" s="92" t="s">
        <v>290</v>
      </c>
      <c r="D34" s="1"/>
      <c r="F34" s="18" t="str">
        <f>"   'database'  =&gt; '"&amp;C34&amp;"',"</f>
        <v xml:space="preserve">   'database'  =&gt; 'healmy5_sentrytest2',</v>
      </c>
      <c r="G34" s="13"/>
      <c r="H34" s="13"/>
      <c r="I34" s="13"/>
      <c r="J34" s="13"/>
      <c r="K34" s="13"/>
    </row>
    <row r="35" spans="2:19" x14ac:dyDescent="0.25">
      <c r="B35" s="2" t="s">
        <v>7</v>
      </c>
      <c r="C35" s="92" t="s">
        <v>265</v>
      </c>
      <c r="D35" s="1"/>
      <c r="F35" s="18" t="str">
        <f>"   'username'  =&gt; '"&amp;C35&amp;"',"</f>
        <v xml:space="preserve">   'username'  =&gt; 'root',</v>
      </c>
      <c r="G35" s="13"/>
      <c r="H35" s="13"/>
      <c r="I35" s="13"/>
      <c r="J35" s="13"/>
      <c r="K35" s="13"/>
      <c r="M35" s="3" t="s">
        <v>47</v>
      </c>
    </row>
    <row r="36" spans="2:19" x14ac:dyDescent="0.25">
      <c r="B36" s="2" t="s">
        <v>8</v>
      </c>
      <c r="C36" s="92"/>
      <c r="D36" s="1"/>
      <c r="F36" s="18" t="str">
        <f>"   'password'  =&gt; '"&amp;C36&amp;"',"</f>
        <v xml:space="preserve">   'password'  =&gt; '',</v>
      </c>
      <c r="G36" s="13"/>
      <c r="H36" s="13"/>
      <c r="I36" s="13"/>
      <c r="J36" s="13"/>
      <c r="K36" s="13"/>
      <c r="M36" s="3" t="str">
        <f>IF(SUM(J41:K50)&gt;0,B2&amp;P50&amp;Q50&amp;B3,"")</f>
        <v>--fields="originated_from:string,directed_to:string,descr:string,thetask_id:integer"</v>
      </c>
    </row>
    <row r="37" spans="2:19" x14ac:dyDescent="0.25"/>
    <row r="38" spans="2:19" x14ac:dyDescent="0.25">
      <c r="B38" s="2" t="s">
        <v>9</v>
      </c>
    </row>
    <row r="39" spans="2:19" x14ac:dyDescent="0.25">
      <c r="B39" s="2" t="s">
        <v>10</v>
      </c>
      <c r="D39" s="92" t="s">
        <v>535</v>
      </c>
      <c r="F39" s="3" t="str">
        <f>LEFT(D39,LEN(D39)-1)</f>
        <v>taskdiscussion</v>
      </c>
      <c r="G39" s="3" t="str">
        <f>UPPER(LEFT(F39,1))&amp;RIGHT(F39,LEN(F39)-1)</f>
        <v>Taskdiscussion</v>
      </c>
    </row>
    <row r="40" spans="2:19" x14ac:dyDescent="0.25">
      <c r="C40" s="2" t="s">
        <v>31</v>
      </c>
      <c r="D40" s="2" t="s">
        <v>32</v>
      </c>
      <c r="G40" s="2" t="s">
        <v>31</v>
      </c>
      <c r="H40" s="2" t="s">
        <v>32</v>
      </c>
      <c r="J40" s="3" t="s">
        <v>136</v>
      </c>
      <c r="K40" s="3"/>
      <c r="M40" s="3" t="s">
        <v>39</v>
      </c>
      <c r="N40" s="3" t="s">
        <v>46</v>
      </c>
      <c r="S40" s="3" t="s">
        <v>139</v>
      </c>
    </row>
    <row r="41" spans="2:19" x14ac:dyDescent="0.25">
      <c r="B41" s="2" t="s">
        <v>11</v>
      </c>
      <c r="C41" s="92" t="s">
        <v>539</v>
      </c>
      <c r="D41" s="92" t="s">
        <v>41</v>
      </c>
      <c r="F41" s="2" t="s">
        <v>21</v>
      </c>
      <c r="G41" s="92"/>
      <c r="H41" s="92"/>
      <c r="J41" s="3">
        <f>IF(C41="",0,1)</f>
        <v>1</v>
      </c>
      <c r="K41" s="3">
        <f>IF(G41="",0,1)</f>
        <v>0</v>
      </c>
      <c r="M41" s="3" t="s">
        <v>40</v>
      </c>
      <c r="N41" s="22" t="str">
        <f>IF(AND(C41&lt;&gt;"",D41&lt;&gt;""),IF(N40="concatenator1","",",")&amp;C41&amp;":"&amp;D41,"")</f>
        <v>originated_from:string</v>
      </c>
      <c r="O41" s="22" t="str">
        <f>IF(AND(G41&lt;&gt;"",H41&lt;&gt;""),","&amp;G41&amp;":"&amp;H41,"")</f>
        <v/>
      </c>
      <c r="P41" s="22" t="str">
        <f>P40&amp;N41</f>
        <v>originated_from:string</v>
      </c>
      <c r="Q41" s="22" t="str">
        <f>Q40&amp;O41</f>
        <v/>
      </c>
      <c r="S41" s="22" t="s">
        <v>140</v>
      </c>
    </row>
    <row r="42" spans="2:19" x14ac:dyDescent="0.25">
      <c r="B42" s="2" t="s">
        <v>12</v>
      </c>
      <c r="C42" s="92" t="s">
        <v>536</v>
      </c>
      <c r="D42" s="92" t="s">
        <v>41</v>
      </c>
      <c r="F42" s="2" t="s">
        <v>22</v>
      </c>
      <c r="G42" s="92"/>
      <c r="H42" s="92"/>
      <c r="J42" s="3">
        <f t="shared" ref="J42:J50" si="0">IF(C42="",0,1)</f>
        <v>1</v>
      </c>
      <c r="K42" s="3">
        <f t="shared" ref="K42:K50" si="1">IF(G42="",0,1)</f>
        <v>0</v>
      </c>
      <c r="M42" s="3" t="s">
        <v>41</v>
      </c>
      <c r="N42" s="22" t="str">
        <f t="shared" ref="N42:N50" si="2">IF(AND(C42&lt;&gt;"",D42&lt;&gt;""),IF(N41="concatenator1","",",")&amp;C42&amp;":"&amp;D42,"")</f>
        <v>,directed_to:string</v>
      </c>
      <c r="O42" s="22" t="str">
        <f t="shared" ref="O42:O50" si="3">IF(AND(G42&lt;&gt;"",H42&lt;&gt;""),","&amp;G42&amp;":"&amp;H42,"")</f>
        <v/>
      </c>
      <c r="P42" s="22" t="str">
        <f t="shared" ref="P42:Q50" si="4">P41&amp;N42</f>
        <v>originated_from:string,directed_to:string</v>
      </c>
      <c r="Q42" s="22" t="str">
        <f t="shared" si="4"/>
        <v/>
      </c>
      <c r="S42" s="22" t="s">
        <v>141</v>
      </c>
    </row>
    <row r="43" spans="2:19" x14ac:dyDescent="0.25">
      <c r="B43" s="2" t="s">
        <v>13</v>
      </c>
      <c r="C43" s="92" t="s">
        <v>537</v>
      </c>
      <c r="D43" s="92" t="s">
        <v>41</v>
      </c>
      <c r="F43" s="2" t="s">
        <v>23</v>
      </c>
      <c r="G43" s="92"/>
      <c r="H43" s="92"/>
      <c r="J43" s="3">
        <f t="shared" si="0"/>
        <v>1</v>
      </c>
      <c r="K43" s="3">
        <f t="shared" si="1"/>
        <v>0</v>
      </c>
      <c r="M43" s="3" t="s">
        <v>42</v>
      </c>
      <c r="N43" s="22" t="str">
        <f t="shared" si="2"/>
        <v>,descr:string</v>
      </c>
      <c r="O43" s="22" t="str">
        <f t="shared" si="3"/>
        <v/>
      </c>
      <c r="P43" s="22" t="str">
        <f t="shared" si="4"/>
        <v>originated_from:string,directed_to:string,descr:string</v>
      </c>
      <c r="Q43" s="22" t="str">
        <f t="shared" si="4"/>
        <v/>
      </c>
    </row>
    <row r="44" spans="2:19" x14ac:dyDescent="0.25">
      <c r="B44" s="2" t="s">
        <v>14</v>
      </c>
      <c r="C44" s="92" t="s">
        <v>538</v>
      </c>
      <c r="D44" s="92" t="s">
        <v>40</v>
      </c>
      <c r="F44" s="2" t="s">
        <v>24</v>
      </c>
      <c r="G44" s="92"/>
      <c r="H44" s="92"/>
      <c r="J44" s="3">
        <f t="shared" si="0"/>
        <v>1</v>
      </c>
      <c r="K44" s="3">
        <f t="shared" si="1"/>
        <v>0</v>
      </c>
      <c r="M44" s="3" t="s">
        <v>43</v>
      </c>
      <c r="N44" s="22" t="str">
        <f t="shared" si="2"/>
        <v>,thetask_id:integer</v>
      </c>
      <c r="O44" s="22" t="str">
        <f t="shared" si="3"/>
        <v/>
      </c>
      <c r="P44" s="22" t="str">
        <f t="shared" si="4"/>
        <v>originated_from:string,directed_to:string,descr:string,thetask_id:integer</v>
      </c>
      <c r="Q44" s="22" t="str">
        <f t="shared" si="4"/>
        <v/>
      </c>
    </row>
    <row r="45" spans="2:19" x14ac:dyDescent="0.25">
      <c r="B45" s="2" t="s">
        <v>15</v>
      </c>
      <c r="C45" s="92"/>
      <c r="D45" s="92"/>
      <c r="F45" s="2" t="s">
        <v>25</v>
      </c>
      <c r="G45" s="92"/>
      <c r="H45" s="92"/>
      <c r="J45" s="3">
        <f t="shared" si="0"/>
        <v>0</v>
      </c>
      <c r="K45" s="3">
        <f t="shared" si="1"/>
        <v>0</v>
      </c>
      <c r="M45" s="3" t="s">
        <v>134</v>
      </c>
      <c r="N45" s="22" t="str">
        <f t="shared" si="2"/>
        <v/>
      </c>
      <c r="O45" s="22" t="str">
        <f t="shared" si="3"/>
        <v/>
      </c>
      <c r="P45" s="22" t="str">
        <f t="shared" si="4"/>
        <v>originated_from:string,directed_to:string,descr:string,thetask_id:integer</v>
      </c>
      <c r="Q45" s="22" t="str">
        <f t="shared" si="4"/>
        <v/>
      </c>
    </row>
    <row r="46" spans="2:19" x14ac:dyDescent="0.25">
      <c r="B46" s="2" t="s">
        <v>16</v>
      </c>
      <c r="C46" s="92"/>
      <c r="D46" s="92"/>
      <c r="F46" s="2" t="s">
        <v>26</v>
      </c>
      <c r="G46" s="92"/>
      <c r="H46" s="92"/>
      <c r="J46" s="3">
        <f t="shared" si="0"/>
        <v>0</v>
      </c>
      <c r="K46" s="3">
        <f t="shared" si="1"/>
        <v>0</v>
      </c>
      <c r="M46" s="3" t="s">
        <v>135</v>
      </c>
      <c r="N46" s="22" t="str">
        <f t="shared" si="2"/>
        <v/>
      </c>
      <c r="O46" s="22" t="str">
        <f t="shared" si="3"/>
        <v/>
      </c>
      <c r="P46" s="22" t="str">
        <f t="shared" si="4"/>
        <v>originated_from:string,directed_to:string,descr:string,thetask_id:integer</v>
      </c>
      <c r="Q46" s="22" t="str">
        <f t="shared" si="4"/>
        <v/>
      </c>
    </row>
    <row r="47" spans="2:19" x14ac:dyDescent="0.25">
      <c r="B47" s="2" t="s">
        <v>17</v>
      </c>
      <c r="C47" s="92"/>
      <c r="D47" s="92"/>
      <c r="F47" s="2" t="s">
        <v>27</v>
      </c>
      <c r="G47" s="92"/>
      <c r="H47" s="92"/>
      <c r="J47" s="3">
        <f t="shared" si="0"/>
        <v>0</v>
      </c>
      <c r="K47" s="3">
        <f t="shared" si="1"/>
        <v>0</v>
      </c>
      <c r="M47" s="3" t="s">
        <v>137</v>
      </c>
      <c r="N47" s="22" t="str">
        <f t="shared" si="2"/>
        <v/>
      </c>
      <c r="O47" s="22" t="str">
        <f t="shared" si="3"/>
        <v/>
      </c>
      <c r="P47" s="22" t="str">
        <f t="shared" si="4"/>
        <v>originated_from:string,directed_to:string,descr:string,thetask_id:integer</v>
      </c>
      <c r="Q47" s="22" t="str">
        <f t="shared" si="4"/>
        <v/>
      </c>
    </row>
    <row r="48" spans="2:19" x14ac:dyDescent="0.25">
      <c r="B48" s="2" t="s">
        <v>18</v>
      </c>
      <c r="C48" s="92"/>
      <c r="D48" s="92"/>
      <c r="F48" s="2" t="s">
        <v>28</v>
      </c>
      <c r="G48" s="92"/>
      <c r="H48" s="92"/>
      <c r="J48" s="3">
        <f t="shared" si="0"/>
        <v>0</v>
      </c>
      <c r="K48" s="3">
        <f t="shared" si="1"/>
        <v>0</v>
      </c>
      <c r="M48" s="3" t="s">
        <v>138</v>
      </c>
      <c r="N48" s="22" t="str">
        <f t="shared" si="2"/>
        <v/>
      </c>
      <c r="O48" s="22" t="str">
        <f t="shared" si="3"/>
        <v/>
      </c>
      <c r="P48" s="22" t="str">
        <f t="shared" si="4"/>
        <v>originated_from:string,directed_to:string,descr:string,thetask_id:integer</v>
      </c>
      <c r="Q48" s="22" t="str">
        <f t="shared" si="4"/>
        <v/>
      </c>
    </row>
    <row r="49" spans="2:17" x14ac:dyDescent="0.25">
      <c r="B49" s="2" t="s">
        <v>19</v>
      </c>
      <c r="C49" s="92"/>
      <c r="D49" s="92"/>
      <c r="F49" s="2" t="s">
        <v>29</v>
      </c>
      <c r="G49" s="92"/>
      <c r="H49" s="92"/>
      <c r="J49" s="3">
        <f t="shared" si="0"/>
        <v>0</v>
      </c>
      <c r="K49" s="3">
        <f t="shared" si="1"/>
        <v>0</v>
      </c>
      <c r="M49" s="3" t="s">
        <v>44</v>
      </c>
      <c r="N49" s="22" t="str">
        <f t="shared" si="2"/>
        <v/>
      </c>
      <c r="O49" s="22" t="str">
        <f t="shared" si="3"/>
        <v/>
      </c>
      <c r="P49" s="22" t="str">
        <f t="shared" si="4"/>
        <v>originated_from:string,directed_to:string,descr:string,thetask_id:integer</v>
      </c>
      <c r="Q49" s="22" t="str">
        <f t="shared" si="4"/>
        <v/>
      </c>
    </row>
    <row r="50" spans="2:17" x14ac:dyDescent="0.25">
      <c r="B50" s="2" t="s">
        <v>20</v>
      </c>
      <c r="C50" s="92"/>
      <c r="D50" s="92"/>
      <c r="F50" s="2" t="s">
        <v>30</v>
      </c>
      <c r="G50" s="92"/>
      <c r="H50" s="92"/>
      <c r="J50" s="3">
        <f t="shared" si="0"/>
        <v>0</v>
      </c>
      <c r="K50" s="3">
        <f t="shared" si="1"/>
        <v>0</v>
      </c>
      <c r="M50" s="3" t="s">
        <v>45</v>
      </c>
      <c r="N50" s="22" t="str">
        <f t="shared" si="2"/>
        <v/>
      </c>
      <c r="O50" s="22" t="str">
        <f t="shared" si="3"/>
        <v/>
      </c>
      <c r="P50" s="22" t="str">
        <f t="shared" si="4"/>
        <v>originated_from:string,directed_to:string,descr:string,thetask_id:integer</v>
      </c>
      <c r="Q50" s="22" t="str">
        <f t="shared" si="4"/>
        <v/>
      </c>
    </row>
    <row r="51" spans="2:17" x14ac:dyDescent="0.25"/>
    <row r="52" spans="2:17" x14ac:dyDescent="0.25"/>
    <row r="53" spans="2:17" x14ac:dyDescent="0.25">
      <c r="B53" s="2" t="s">
        <v>33</v>
      </c>
    </row>
    <row r="54" spans="2:17" x14ac:dyDescent="0.25">
      <c r="B54" s="8" t="s">
        <v>34</v>
      </c>
      <c r="C54" s="8" t="str">
        <f>A4&amp;A5&amp;A6&amp;D39&amp;B1&amp;M36</f>
        <v>php artisan generate:migration create_taskdiscussions_table --fields="originated_from:string,directed_to:string,descr:string,thetask_id:integer"</v>
      </c>
      <c r="D54" s="8"/>
      <c r="E54" s="8"/>
      <c r="F54" s="8"/>
      <c r="G54" s="8"/>
    </row>
    <row r="55" spans="2:17" x14ac:dyDescent="0.25">
      <c r="B55" s="8" t="s">
        <v>34</v>
      </c>
      <c r="C55" s="8" t="s">
        <v>5</v>
      </c>
      <c r="D55" s="8"/>
      <c r="E55" s="8"/>
      <c r="F55" s="8"/>
      <c r="G55" s="8"/>
    </row>
    <row r="56" spans="2:17" x14ac:dyDescent="0.25">
      <c r="B56" s="8" t="s">
        <v>34</v>
      </c>
      <c r="C56" s="8" t="str">
        <f>A4&amp;B4&amp;G39</f>
        <v>php artisan generate:model Taskdiscussion</v>
      </c>
      <c r="D56" s="8"/>
      <c r="E56" s="8"/>
      <c r="F56" s="8"/>
      <c r="G56" s="8"/>
    </row>
    <row r="57" spans="2:17" x14ac:dyDescent="0.25">
      <c r="J57" s="2" t="s">
        <v>284</v>
      </c>
    </row>
    <row r="58" spans="2:17" x14ac:dyDescent="0.25">
      <c r="J58" s="2" t="s">
        <v>285</v>
      </c>
    </row>
    <row r="59" spans="2:17" x14ac:dyDescent="0.25">
      <c r="B59" s="2" t="s">
        <v>100</v>
      </c>
    </row>
    <row r="60" spans="2:17" x14ac:dyDescent="0.25">
      <c r="B60" s="3" t="s">
        <v>70</v>
      </c>
      <c r="C60" s="3"/>
      <c r="D60" s="3" t="str">
        <f>D39</f>
        <v>taskdiscussions</v>
      </c>
    </row>
    <row r="61" spans="2:17" x14ac:dyDescent="0.25">
      <c r="B61" s="2" t="s">
        <v>101</v>
      </c>
      <c r="D61" s="92" t="s">
        <v>534</v>
      </c>
    </row>
    <row r="62" spans="2:17" x14ac:dyDescent="0.25">
      <c r="B62" s="2" t="s">
        <v>102</v>
      </c>
      <c r="D62" s="92" t="s">
        <v>138</v>
      </c>
    </row>
    <row r="63" spans="2:17" x14ac:dyDescent="0.25">
      <c r="B63" s="8" t="s">
        <v>34</v>
      </c>
      <c r="C63" s="8" t="str">
        <f>C3&amp;D61&amp;C4&amp;D60&amp;C5&amp;C6&amp;D61&amp;":"&amp;D62&amp;C6</f>
        <v>php artisan generate:migration add_bottleneck_to_taskdiscussions_table --fields="bottleneck:tinyinteger"</v>
      </c>
      <c r="D63" s="8"/>
      <c r="E63" s="8"/>
      <c r="F63" s="8"/>
      <c r="G63" s="8"/>
      <c r="H63" s="8"/>
      <c r="I63" s="8"/>
      <c r="J63" s="8"/>
      <c r="K63" s="8"/>
    </row>
    <row r="64" spans="2:17" x14ac:dyDescent="0.25">
      <c r="B64" s="8" t="s">
        <v>34</v>
      </c>
      <c r="C64" s="8" t="s">
        <v>5</v>
      </c>
      <c r="D64" s="8"/>
      <c r="E64" s="8"/>
      <c r="F64" s="8"/>
      <c r="G64" s="8"/>
    </row>
    <row r="65" spans="2:11" x14ac:dyDescent="0.25"/>
    <row r="66" spans="2:11" x14ac:dyDescent="0.25"/>
    <row r="67" spans="2:11" x14ac:dyDescent="0.25">
      <c r="B67" s="2" t="s">
        <v>125</v>
      </c>
    </row>
    <row r="68" spans="2:11" x14ac:dyDescent="0.25">
      <c r="B68" s="2" t="s">
        <v>126</v>
      </c>
    </row>
    <row r="69" spans="2:11" x14ac:dyDescent="0.25">
      <c r="B69" s="2" t="s">
        <v>127</v>
      </c>
    </row>
    <row r="70" spans="2:11" x14ac:dyDescent="0.25"/>
    <row r="71" spans="2:11" x14ac:dyDescent="0.25">
      <c r="B71" s="2" t="s">
        <v>288</v>
      </c>
    </row>
    <row r="72" spans="2:11" x14ac:dyDescent="0.25"/>
    <row r="73" spans="2:11" x14ac:dyDescent="0.25">
      <c r="B73" s="2" t="s">
        <v>286</v>
      </c>
      <c r="C73" s="91" t="s">
        <v>61</v>
      </c>
      <c r="D73" s="17"/>
      <c r="E73" s="3" t="str">
        <f>LEFT(C73,LEN(C73)-1)</f>
        <v>user</v>
      </c>
    </row>
    <row r="74" spans="2:11" x14ac:dyDescent="0.25">
      <c r="B74" s="2" t="s">
        <v>287</v>
      </c>
      <c r="C74" s="91" t="s">
        <v>291</v>
      </c>
      <c r="D74" s="17"/>
      <c r="E74" s="3" t="str">
        <f>LEFT(C74,LEN(C74)-1)</f>
        <v>group</v>
      </c>
    </row>
    <row r="75" spans="2:11" x14ac:dyDescent="0.25"/>
    <row r="76" spans="2:11" x14ac:dyDescent="0.25">
      <c r="B76" s="2" t="s">
        <v>289</v>
      </c>
    </row>
    <row r="77" spans="2:11" x14ac:dyDescent="0.25">
      <c r="B77" s="8" t="s">
        <v>34</v>
      </c>
      <c r="C77" s="8" t="str">
        <f>C3&amp;E74&amp;"_id"&amp;C4&amp;C73&amp;C5&amp;C6&amp;E74&amp;"_id"&amp;":"&amp;"integer"&amp;C6</f>
        <v>php artisan generate:migration add_group_id_to_users_table --fields="group_id:integer"</v>
      </c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 t="s">
        <v>34</v>
      </c>
      <c r="C78" s="8" t="str">
        <f>C3&amp;E73&amp;"_id"&amp;C4&amp;C74&amp;C5&amp;C6&amp;E73&amp;"_id"&amp;":"&amp;"integer"&amp;C6</f>
        <v>php artisan generate:migration add_user_id_to_groups_table --fields="user_id:integer"</v>
      </c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 t="s">
        <v>34</v>
      </c>
      <c r="C79" s="8" t="s">
        <v>5</v>
      </c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 t="s">
        <v>34</v>
      </c>
      <c r="C80" s="8" t="str">
        <f>"php artisan generate:pivot "&amp;C73&amp;" "&amp;C74</f>
        <v>php artisan generate:pivot users groups</v>
      </c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 t="s">
        <v>34</v>
      </c>
      <c r="C81" s="8" t="s">
        <v>5</v>
      </c>
      <c r="D81" s="8"/>
      <c r="E81" s="8"/>
      <c r="F81" s="8"/>
      <c r="G81" s="8"/>
      <c r="H81" s="8"/>
      <c r="I81" s="8"/>
      <c r="J81" s="8"/>
      <c r="K81" s="8"/>
    </row>
    <row r="82" spans="2:11" x14ac:dyDescent="0.25"/>
    <row r="83" spans="2:11" x14ac:dyDescent="0.25"/>
    <row r="84" spans="2:11" x14ac:dyDescent="0.25">
      <c r="B84" s="2" t="s">
        <v>346</v>
      </c>
    </row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sheetProtection sheet="1" objects="1" scenarios="1"/>
  <dataValidations count="1">
    <dataValidation type="list" allowBlank="1" showInputMessage="1" showErrorMessage="1" sqref="D62 H41:H50 D41:D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257"/>
  <sheetViews>
    <sheetView zoomScale="80" zoomScaleNormal="80" workbookViewId="0">
      <pane ySplit="3" topLeftCell="A44" activePane="bottomLeft" state="frozen"/>
      <selection pane="bottomLeft" activeCell="B58" sqref="B58"/>
    </sheetView>
  </sheetViews>
  <sheetFormatPr baseColWidth="10" defaultColWidth="11.42578125" defaultRowHeight="15" x14ac:dyDescent="0.25"/>
  <cols>
    <col min="1" max="11" width="11.42578125" style="2"/>
    <col min="12" max="12" width="12.140625" style="2" customWidth="1"/>
    <col min="13" max="22" width="1.42578125" style="2" customWidth="1"/>
    <col min="23" max="23" width="2.28515625" style="2" customWidth="1"/>
    <col min="24" max="24" width="2" style="2" customWidth="1"/>
    <col min="25" max="29" width="1.140625" style="2" customWidth="1"/>
    <col min="30" max="31" width="1.28515625" style="2" customWidth="1"/>
    <col min="32" max="32" width="11.42578125" style="2"/>
    <col min="33" max="37" width="1.42578125" style="2" customWidth="1"/>
    <col min="38" max="39" width="11.42578125" style="2"/>
    <col min="40" max="44" width="0.85546875" style="2" customWidth="1"/>
    <col min="45" max="16384" width="11.42578125" style="2"/>
  </cols>
  <sheetData>
    <row r="1" spans="1:45" s="1" customFormat="1" x14ac:dyDescent="0.25">
      <c r="P1" s="1" t="s">
        <v>48</v>
      </c>
    </row>
    <row r="2" spans="1:45" s="1" customFormat="1" x14ac:dyDescent="0.25"/>
    <row r="3" spans="1:45" s="1" customFormat="1" x14ac:dyDescent="0.25"/>
    <row r="5" spans="1:45" x14ac:dyDescent="0.25">
      <c r="B5" s="2" t="s">
        <v>413</v>
      </c>
    </row>
    <row r="6" spans="1:45" x14ac:dyDescent="0.25">
      <c r="B6" s="2" t="s">
        <v>414</v>
      </c>
    </row>
    <row r="7" spans="1:45" x14ac:dyDescent="0.25">
      <c r="B7" s="2" t="s">
        <v>415</v>
      </c>
    </row>
    <row r="12" spans="1:45" x14ac:dyDescent="0.25">
      <c r="B12" s="2" t="s">
        <v>367</v>
      </c>
      <c r="X12" s="2" t="s">
        <v>396</v>
      </c>
    </row>
    <row r="13" spans="1:45" x14ac:dyDescent="0.25">
      <c r="B13" s="2" t="s">
        <v>368</v>
      </c>
      <c r="C13" s="2" t="s">
        <v>369</v>
      </c>
      <c r="D13" s="2" t="s">
        <v>370</v>
      </c>
      <c r="E13" s="2" t="s">
        <v>407</v>
      </c>
      <c r="H13" s="2" t="s">
        <v>368</v>
      </c>
      <c r="I13" s="2" t="s">
        <v>369</v>
      </c>
      <c r="J13" s="2" t="s">
        <v>370</v>
      </c>
      <c r="K13" s="2" t="s">
        <v>371</v>
      </c>
      <c r="L13" s="3" t="s">
        <v>373</v>
      </c>
      <c r="M13" s="3" t="s">
        <v>372</v>
      </c>
      <c r="P13" s="2" t="s">
        <v>395</v>
      </c>
      <c r="X13" s="78"/>
      <c r="AF13" s="2" t="s">
        <v>397</v>
      </c>
      <c r="AM13" s="2" t="s">
        <v>398</v>
      </c>
    </row>
    <row r="14" spans="1:45" x14ac:dyDescent="0.25">
      <c r="A14" s="2">
        <v>1</v>
      </c>
      <c r="B14" s="68" t="str">
        <f>IF(AND('tables and models'!C41&lt;&gt;"",'tables and models'!D41&lt;&gt;""),'tables and models'!C41,"")</f>
        <v>originated_from</v>
      </c>
      <c r="C14" s="73" t="s">
        <v>404</v>
      </c>
      <c r="D14" s="73" t="str">
        <f>C14</f>
        <v>pray</v>
      </c>
      <c r="E14" s="73">
        <v>1</v>
      </c>
      <c r="G14" s="2">
        <v>11</v>
      </c>
      <c r="H14" s="68" t="str">
        <f>IF(AND('tables and models'!G41&lt;&gt;"",'tables and models'!H41&lt;&gt;""),'tables and models'!G41,"")</f>
        <v/>
      </c>
      <c r="I14" s="73"/>
      <c r="J14" s="73"/>
      <c r="K14" s="73"/>
      <c r="L14" s="70" t="str">
        <f>IF(AND(L13&lt;&gt;"comma",B14&lt;&gt;""),",","")</f>
        <v/>
      </c>
      <c r="M14" s="69" t="str">
        <f>IF(B14&lt;&gt;"",L14&amp;"array('"&amp;B14&amp;"','"&amp;C14&amp;"','"&amp;D14&amp;"','"&amp;E14&amp;"')","")</f>
        <v>array('originated_from','pray','pray','1')</v>
      </c>
      <c r="N14" s="70" t="str">
        <f>IF(AND(N13&lt;&gt;"comma",H14&lt;&gt;""),",","")</f>
        <v/>
      </c>
      <c r="O14" s="69" t="str">
        <f>IF(H14&lt;&gt;"",N14&amp;"array('"&amp;H14&amp;"','"&amp;I14&amp;"','"&amp;J14&amp;"','"&amp;K14&amp;"')","")</f>
        <v/>
      </c>
      <c r="P14" s="75" t="str">
        <f>IF(B14&lt;&gt;"","var "&amp;B14&amp;"=$('#input_"&amp;'tables and models'!$F$39&amp;"_"&amp;B14&amp;"').val();","")</f>
        <v>var originated_from=$('#input_taskdiscussion_originated_from').val();</v>
      </c>
      <c r="V14" s="75" t="str">
        <f>IF(H14&lt;&gt;"","var "&amp;H14&amp;"=$('#input_"&amp;'tables and models'!$F$39&amp;"_"&amp;H14&amp;"').val();","")</f>
        <v/>
      </c>
      <c r="W14" s="80" t="str">
        <f>IF(AND(X14&lt;&gt;"",X13&lt;&gt;""),",","")</f>
        <v/>
      </c>
      <c r="X14" s="77" t="str">
        <f>IF(B14&lt;&gt;"",B14&amp;":"&amp;B14,"")</f>
        <v>originated_from:originated_from</v>
      </c>
      <c r="Y14" s="2" t="str">
        <f>Y13&amp;W14&amp;X14</f>
        <v>originated_from:originated_from</v>
      </c>
      <c r="AC14" s="79" t="str">
        <f>IF(AD14&lt;&gt;"",",","")</f>
        <v/>
      </c>
      <c r="AD14" s="77" t="str">
        <f t="shared" ref="AD14:AD23" si="0">IF(H14&lt;&gt;"",H14&amp;":"&amp;H14,"")</f>
        <v/>
      </c>
      <c r="AE14" s="2" t="str">
        <f>AE13&amp;AC14&amp;AD14</f>
        <v/>
      </c>
      <c r="AF14" s="76" t="str">
        <f>IF(B14&lt;&gt;"","$_POST['"&amp;B14&amp;"']","")</f>
        <v>$_POST['originated_from']</v>
      </c>
      <c r="AL14" s="76" t="str">
        <f>IF(H14&lt;&gt;"","$_POST['"&amp;H14&amp;"']","")</f>
        <v/>
      </c>
      <c r="AM14" s="82" t="str">
        <f>IF(B14&lt;&gt;"","$insert-&gt;"&amp;B14&amp;"="&amp;AF14&amp;";","")</f>
        <v>$insert-&gt;originated_from=$_POST['originated_from'];</v>
      </c>
      <c r="AS14" s="82" t="str">
        <f>IF(H14&lt;&gt;"","$insert-&gt;"&amp;H14&amp;"="&amp;AL14&amp;";","")</f>
        <v/>
      </c>
    </row>
    <row r="15" spans="1:45" x14ac:dyDescent="0.25">
      <c r="A15" s="2">
        <v>2</v>
      </c>
      <c r="B15" s="68" t="str">
        <f>IF(AND('tables and models'!C42&lt;&gt;"",'tables and models'!D42&lt;&gt;""),'tables and models'!C42,"")</f>
        <v>directed_to</v>
      </c>
      <c r="C15" s="73" t="s">
        <v>405</v>
      </c>
      <c r="D15" s="73" t="str">
        <f>C15</f>
        <v>number</v>
      </c>
      <c r="E15" s="73">
        <v>2</v>
      </c>
      <c r="G15" s="2">
        <v>12</v>
      </c>
      <c r="H15" s="68" t="str">
        <f>IF(AND('tables and models'!G42&lt;&gt;"",'tables and models'!H42&lt;&gt;""),'tables and models'!G42,"")</f>
        <v/>
      </c>
      <c r="I15" s="73"/>
      <c r="J15" s="73"/>
      <c r="K15" s="73"/>
      <c r="L15" s="70" t="str">
        <f t="shared" ref="L15:L23" si="1">IF(AND(L14&lt;&gt;"comma",B15&lt;&gt;""),",","")</f>
        <v>,</v>
      </c>
      <c r="M15" s="69" t="str">
        <f t="shared" ref="M15:M23" si="2">IF(B15&lt;&gt;"",L15&amp;"array('"&amp;B15&amp;"','"&amp;C15&amp;"','"&amp;D15&amp;"','"&amp;E15&amp;"')","")</f>
        <v>,array('directed_to','number','number','2')</v>
      </c>
      <c r="N15" s="70" t="str">
        <f t="shared" ref="N15:N23" si="3">IF(AND(N14&lt;&gt;"comma",H15&lt;&gt;""),",","")</f>
        <v/>
      </c>
      <c r="O15" s="69" t="str">
        <f t="shared" ref="O15:O23" si="4">IF(H15&lt;&gt;"",N15&amp;"array('"&amp;H15&amp;"','"&amp;I15&amp;"','"&amp;J15&amp;"','"&amp;K15&amp;"')","")</f>
        <v/>
      </c>
      <c r="P15" s="75" t="str">
        <f>IF(B15&lt;&gt;"","var "&amp;B15&amp;"=$('#input_"&amp;'tables and models'!$F$39&amp;"_"&amp;B15&amp;"').val();","")</f>
        <v>var directed_to=$('#input_taskdiscussion_directed_to').val();</v>
      </c>
      <c r="V15" s="75" t="str">
        <f>IF(H15&lt;&gt;"","var "&amp;H15&amp;"=$('#input_"&amp;'tables and models'!$F$39&amp;"_"&amp;H15&amp;"').val();","")</f>
        <v/>
      </c>
      <c r="W15" s="80" t="str">
        <f t="shared" ref="W15:W23" si="5">IF(AND(X15&lt;&gt;"",X14&lt;&gt;""),",","")</f>
        <v>,</v>
      </c>
      <c r="X15" s="77" t="str">
        <f t="shared" ref="X15:X23" si="6">IF(B15&lt;&gt;"",B15&amp;":"&amp;B15,"")</f>
        <v>directed_to:directed_to</v>
      </c>
      <c r="Y15" s="2" t="str">
        <f t="shared" ref="Y15:Y23" si="7">Y14&amp;W15&amp;X15</f>
        <v>originated_from:originated_from,directed_to:directed_to</v>
      </c>
      <c r="AC15" s="79" t="str">
        <f t="shared" ref="AC15:AC23" si="8">IF(AD15&lt;&gt;"",",","")</f>
        <v/>
      </c>
      <c r="AD15" s="77" t="str">
        <f t="shared" si="0"/>
        <v/>
      </c>
      <c r="AE15" s="2" t="str">
        <f t="shared" ref="AE15:AE23" si="9">AE14&amp;AC15&amp;AD15</f>
        <v/>
      </c>
      <c r="AF15" s="76" t="str">
        <f t="shared" ref="AF15:AF23" si="10">IF(B15&lt;&gt;"","$_POST['"&amp;B15&amp;"']","")</f>
        <v>$_POST['directed_to']</v>
      </c>
      <c r="AL15" s="76" t="str">
        <f t="shared" ref="AL15:AL23" si="11">IF(H15&lt;&gt;"","$_POST['"&amp;H15&amp;"']","")</f>
        <v/>
      </c>
      <c r="AM15" s="82" t="str">
        <f t="shared" ref="AM15:AM23" si="12">IF(B15&lt;&gt;"","$insert-&gt;"&amp;B15&amp;"="&amp;AF15&amp;";","")</f>
        <v>$insert-&gt;directed_to=$_POST['directed_to'];</v>
      </c>
      <c r="AS15" s="82" t="str">
        <f t="shared" ref="AS15:AS23" si="13">IF(H15&lt;&gt;"","$insert-&gt;"&amp;H15&amp;"="&amp;AL15&amp;";","")</f>
        <v/>
      </c>
    </row>
    <row r="16" spans="1:45" x14ac:dyDescent="0.25">
      <c r="A16" s="2">
        <v>3</v>
      </c>
      <c r="B16" s="68" t="str">
        <f>IF(AND('tables and models'!C43&lt;&gt;"",'tables and models'!D43&lt;&gt;""),'tables and models'!C43,"")</f>
        <v>descr</v>
      </c>
      <c r="C16" s="73" t="s">
        <v>406</v>
      </c>
      <c r="D16" s="73" t="str">
        <f>C16</f>
        <v>answer</v>
      </c>
      <c r="E16" s="73">
        <v>1</v>
      </c>
      <c r="G16" s="2">
        <v>13</v>
      </c>
      <c r="H16" s="68" t="str">
        <f>IF(AND('tables and models'!G43&lt;&gt;"",'tables and models'!H43&lt;&gt;""),'tables and models'!G43,"")</f>
        <v/>
      </c>
      <c r="I16" s="73"/>
      <c r="J16" s="73"/>
      <c r="K16" s="73"/>
      <c r="L16" s="70" t="str">
        <f t="shared" si="1"/>
        <v>,</v>
      </c>
      <c r="M16" s="69" t="str">
        <f t="shared" si="2"/>
        <v>,array('descr','answer','answer','1')</v>
      </c>
      <c r="N16" s="70" t="str">
        <f t="shared" si="3"/>
        <v/>
      </c>
      <c r="O16" s="69" t="str">
        <f t="shared" si="4"/>
        <v/>
      </c>
      <c r="P16" s="75" t="str">
        <f>IF(B16&lt;&gt;"","var "&amp;B16&amp;"=$('#input_"&amp;'tables and models'!$F$39&amp;"_"&amp;B16&amp;"').val();","")</f>
        <v>var descr=$('#input_taskdiscussion_descr').val();</v>
      </c>
      <c r="V16" s="75" t="str">
        <f>IF(H16&lt;&gt;"","var "&amp;H16&amp;"=$('#input_"&amp;'tables and models'!$F$39&amp;"_"&amp;H16&amp;"').val();","")</f>
        <v/>
      </c>
      <c r="W16" s="80" t="str">
        <f t="shared" si="5"/>
        <v>,</v>
      </c>
      <c r="X16" s="77" t="str">
        <f t="shared" si="6"/>
        <v>descr:descr</v>
      </c>
      <c r="Y16" s="2" t="str">
        <f t="shared" si="7"/>
        <v>originated_from:originated_from,directed_to:directed_to,descr:descr</v>
      </c>
      <c r="AC16" s="79" t="str">
        <f t="shared" si="8"/>
        <v/>
      </c>
      <c r="AD16" s="77" t="str">
        <f t="shared" si="0"/>
        <v/>
      </c>
      <c r="AE16" s="2" t="str">
        <f t="shared" si="9"/>
        <v/>
      </c>
      <c r="AF16" s="76" t="str">
        <f t="shared" si="10"/>
        <v>$_POST['descr']</v>
      </c>
      <c r="AL16" s="76" t="str">
        <f t="shared" si="11"/>
        <v/>
      </c>
      <c r="AM16" s="82" t="str">
        <f t="shared" si="12"/>
        <v>$insert-&gt;descr=$_POST['descr'];</v>
      </c>
      <c r="AS16" s="82" t="str">
        <f t="shared" si="13"/>
        <v/>
      </c>
    </row>
    <row r="17" spans="1:45" x14ac:dyDescent="0.25">
      <c r="A17" s="2">
        <v>4</v>
      </c>
      <c r="B17" s="68" t="str">
        <f>IF(AND('tables and models'!C44&lt;&gt;"",'tables and models'!D44&lt;&gt;""),'tables and models'!C44,"")</f>
        <v>thetask_id</v>
      </c>
      <c r="C17" s="73"/>
      <c r="D17" s="73"/>
      <c r="E17" s="73"/>
      <c r="G17" s="2">
        <v>14</v>
      </c>
      <c r="H17" s="68" t="str">
        <f>IF(AND('tables and models'!G44&lt;&gt;"",'tables and models'!H44&lt;&gt;""),'tables and models'!G44,"")</f>
        <v/>
      </c>
      <c r="I17" s="73"/>
      <c r="J17" s="73"/>
      <c r="K17" s="73"/>
      <c r="L17" s="70" t="str">
        <f t="shared" si="1"/>
        <v>,</v>
      </c>
      <c r="M17" s="69" t="str">
        <f t="shared" si="2"/>
        <v>,array('thetask_id','','','')</v>
      </c>
      <c r="N17" s="70" t="str">
        <f t="shared" si="3"/>
        <v/>
      </c>
      <c r="O17" s="69" t="str">
        <f t="shared" si="4"/>
        <v/>
      </c>
      <c r="P17" s="75" t="str">
        <f>IF(B17&lt;&gt;"","var "&amp;B17&amp;"=$('#input_"&amp;'tables and models'!$F$39&amp;"_"&amp;B17&amp;"').val();","")</f>
        <v>var thetask_id=$('#input_taskdiscussion_thetask_id').val();</v>
      </c>
      <c r="V17" s="75" t="str">
        <f>IF(H17&lt;&gt;"","var "&amp;H17&amp;"=$('#input_"&amp;'tables and models'!$F$39&amp;"_"&amp;H17&amp;"').val();","")</f>
        <v/>
      </c>
      <c r="W17" s="80" t="str">
        <f t="shared" si="5"/>
        <v>,</v>
      </c>
      <c r="X17" s="77" t="str">
        <f t="shared" si="6"/>
        <v>thetask_id:thetask_id</v>
      </c>
      <c r="Y17" s="2" t="str">
        <f t="shared" si="7"/>
        <v>originated_from:originated_from,directed_to:directed_to,descr:descr,thetask_id:thetask_id</v>
      </c>
      <c r="AC17" s="79" t="str">
        <f t="shared" si="8"/>
        <v/>
      </c>
      <c r="AD17" s="77" t="str">
        <f t="shared" si="0"/>
        <v/>
      </c>
      <c r="AE17" s="2" t="str">
        <f t="shared" si="9"/>
        <v/>
      </c>
      <c r="AF17" s="76" t="str">
        <f t="shared" si="10"/>
        <v>$_POST['thetask_id']</v>
      </c>
      <c r="AL17" s="76" t="str">
        <f t="shared" si="11"/>
        <v/>
      </c>
      <c r="AM17" s="82" t="str">
        <f t="shared" si="12"/>
        <v>$insert-&gt;thetask_id=$_POST['thetask_id'];</v>
      </c>
      <c r="AS17" s="82" t="str">
        <f t="shared" si="13"/>
        <v/>
      </c>
    </row>
    <row r="18" spans="1:45" x14ac:dyDescent="0.25">
      <c r="A18" s="2">
        <v>5</v>
      </c>
      <c r="B18" s="68" t="str">
        <f>IF(AND('tables and models'!C45&lt;&gt;"",'tables and models'!D45&lt;&gt;""),'tables and models'!C45,"")</f>
        <v/>
      </c>
      <c r="C18" s="73"/>
      <c r="D18" s="73"/>
      <c r="E18" s="73"/>
      <c r="G18" s="2">
        <v>15</v>
      </c>
      <c r="H18" s="68" t="str">
        <f>IF(AND('tables and models'!G45&lt;&gt;"",'tables and models'!H45&lt;&gt;""),'tables and models'!G45,"")</f>
        <v/>
      </c>
      <c r="I18" s="73"/>
      <c r="J18" s="73"/>
      <c r="K18" s="73"/>
      <c r="L18" s="70" t="str">
        <f t="shared" si="1"/>
        <v/>
      </c>
      <c r="M18" s="69" t="str">
        <f t="shared" si="2"/>
        <v/>
      </c>
      <c r="N18" s="70" t="str">
        <f t="shared" si="3"/>
        <v/>
      </c>
      <c r="O18" s="69" t="str">
        <f t="shared" si="4"/>
        <v/>
      </c>
      <c r="P18" s="75" t="str">
        <f>IF(B18&lt;&gt;"","var "&amp;B18&amp;"=$('#input_"&amp;'tables and models'!$F$39&amp;"_"&amp;B18&amp;"').val();","")</f>
        <v/>
      </c>
      <c r="V18" s="75" t="str">
        <f>IF(H18&lt;&gt;"","var "&amp;H18&amp;"=$('#input_"&amp;'tables and models'!$F$39&amp;"_"&amp;H18&amp;"').val();","")</f>
        <v/>
      </c>
      <c r="W18" s="80" t="str">
        <f t="shared" si="5"/>
        <v/>
      </c>
      <c r="X18" s="77" t="str">
        <f t="shared" si="6"/>
        <v/>
      </c>
      <c r="Y18" s="2" t="str">
        <f t="shared" si="7"/>
        <v>originated_from:originated_from,directed_to:directed_to,descr:descr,thetask_id:thetask_id</v>
      </c>
      <c r="AC18" s="79" t="str">
        <f t="shared" si="8"/>
        <v/>
      </c>
      <c r="AD18" s="77" t="str">
        <f t="shared" si="0"/>
        <v/>
      </c>
      <c r="AE18" s="2" t="str">
        <f t="shared" si="9"/>
        <v/>
      </c>
      <c r="AF18" s="76" t="str">
        <f t="shared" si="10"/>
        <v/>
      </c>
      <c r="AL18" s="76" t="str">
        <f t="shared" si="11"/>
        <v/>
      </c>
      <c r="AM18" s="82" t="str">
        <f t="shared" si="12"/>
        <v/>
      </c>
      <c r="AS18" s="82" t="str">
        <f t="shared" si="13"/>
        <v/>
      </c>
    </row>
    <row r="19" spans="1:45" x14ac:dyDescent="0.25">
      <c r="A19" s="2">
        <v>6</v>
      </c>
      <c r="B19" s="68" t="str">
        <f>IF(AND('tables and models'!C46&lt;&gt;"",'tables and models'!D46&lt;&gt;""),'tables and models'!C46,"")</f>
        <v/>
      </c>
      <c r="C19" s="73"/>
      <c r="D19" s="73"/>
      <c r="E19" s="73"/>
      <c r="G19" s="2">
        <v>16</v>
      </c>
      <c r="H19" s="68" t="str">
        <f>IF(AND('tables and models'!G46&lt;&gt;"",'tables and models'!H46&lt;&gt;""),'tables and models'!G46,"")</f>
        <v/>
      </c>
      <c r="I19" s="73"/>
      <c r="J19" s="73"/>
      <c r="K19" s="73"/>
      <c r="L19" s="70" t="str">
        <f t="shared" si="1"/>
        <v/>
      </c>
      <c r="M19" s="69" t="str">
        <f t="shared" si="2"/>
        <v/>
      </c>
      <c r="N19" s="70" t="str">
        <f t="shared" si="3"/>
        <v/>
      </c>
      <c r="O19" s="69" t="str">
        <f t="shared" si="4"/>
        <v/>
      </c>
      <c r="P19" s="75" t="str">
        <f>IF(B19&lt;&gt;"","var "&amp;B19&amp;"=$('#input_"&amp;'tables and models'!$F$39&amp;"_"&amp;B19&amp;"').val();","")</f>
        <v/>
      </c>
      <c r="V19" s="75" t="str">
        <f>IF(H19&lt;&gt;"","var "&amp;H19&amp;"=$('#input_"&amp;'tables and models'!$F$39&amp;"_"&amp;H19&amp;"').val();","")</f>
        <v/>
      </c>
      <c r="W19" s="80" t="str">
        <f t="shared" si="5"/>
        <v/>
      </c>
      <c r="X19" s="77" t="str">
        <f t="shared" si="6"/>
        <v/>
      </c>
      <c r="Y19" s="2" t="str">
        <f t="shared" si="7"/>
        <v>originated_from:originated_from,directed_to:directed_to,descr:descr,thetask_id:thetask_id</v>
      </c>
      <c r="AC19" s="79" t="str">
        <f t="shared" si="8"/>
        <v/>
      </c>
      <c r="AD19" s="77" t="str">
        <f t="shared" si="0"/>
        <v/>
      </c>
      <c r="AE19" s="2" t="str">
        <f t="shared" si="9"/>
        <v/>
      </c>
      <c r="AF19" s="76" t="str">
        <f t="shared" si="10"/>
        <v/>
      </c>
      <c r="AL19" s="76" t="str">
        <f t="shared" si="11"/>
        <v/>
      </c>
      <c r="AM19" s="82" t="str">
        <f t="shared" si="12"/>
        <v/>
      </c>
      <c r="AS19" s="82" t="str">
        <f t="shared" si="13"/>
        <v/>
      </c>
    </row>
    <row r="20" spans="1:45" x14ac:dyDescent="0.25">
      <c r="A20" s="2">
        <v>7</v>
      </c>
      <c r="B20" s="68" t="str">
        <f>IF(AND('tables and models'!C47&lt;&gt;"",'tables and models'!D47&lt;&gt;""),'tables and models'!C47,"")</f>
        <v/>
      </c>
      <c r="C20" s="73"/>
      <c r="D20" s="73"/>
      <c r="E20" s="73"/>
      <c r="G20" s="2">
        <v>17</v>
      </c>
      <c r="H20" s="68" t="str">
        <f>IF(AND('tables and models'!G47&lt;&gt;"",'tables and models'!H47&lt;&gt;""),'tables and models'!G47,"")</f>
        <v/>
      </c>
      <c r="I20" s="73"/>
      <c r="J20" s="73"/>
      <c r="K20" s="73"/>
      <c r="L20" s="70" t="str">
        <f t="shared" si="1"/>
        <v/>
      </c>
      <c r="M20" s="69" t="str">
        <f t="shared" si="2"/>
        <v/>
      </c>
      <c r="N20" s="70" t="str">
        <f t="shared" si="3"/>
        <v/>
      </c>
      <c r="O20" s="69" t="str">
        <f t="shared" si="4"/>
        <v/>
      </c>
      <c r="P20" s="75" t="str">
        <f>IF(B20&lt;&gt;"","var "&amp;B20&amp;"=$('#input_"&amp;'tables and models'!$F$39&amp;"_"&amp;B20&amp;"').val();","")</f>
        <v/>
      </c>
      <c r="V20" s="75" t="str">
        <f>IF(H20&lt;&gt;"","var "&amp;H20&amp;"=$('#input_"&amp;'tables and models'!$F$39&amp;"_"&amp;H20&amp;"').val();","")</f>
        <v/>
      </c>
      <c r="W20" s="80" t="str">
        <f t="shared" si="5"/>
        <v/>
      </c>
      <c r="X20" s="77" t="str">
        <f t="shared" si="6"/>
        <v/>
      </c>
      <c r="Y20" s="2" t="str">
        <f t="shared" si="7"/>
        <v>originated_from:originated_from,directed_to:directed_to,descr:descr,thetask_id:thetask_id</v>
      </c>
      <c r="AC20" s="79" t="str">
        <f t="shared" si="8"/>
        <v/>
      </c>
      <c r="AD20" s="77" t="str">
        <f t="shared" si="0"/>
        <v/>
      </c>
      <c r="AE20" s="2" t="str">
        <f t="shared" si="9"/>
        <v/>
      </c>
      <c r="AF20" s="76" t="str">
        <f t="shared" si="10"/>
        <v/>
      </c>
      <c r="AL20" s="76" t="str">
        <f t="shared" si="11"/>
        <v/>
      </c>
      <c r="AM20" s="82" t="str">
        <f t="shared" si="12"/>
        <v/>
      </c>
      <c r="AS20" s="82" t="str">
        <f t="shared" si="13"/>
        <v/>
      </c>
    </row>
    <row r="21" spans="1:45" x14ac:dyDescent="0.25">
      <c r="A21" s="2">
        <v>8</v>
      </c>
      <c r="B21" s="68" t="str">
        <f>IF(AND('tables and models'!C48&lt;&gt;"",'tables and models'!D48&lt;&gt;""),'tables and models'!C48,"")</f>
        <v/>
      </c>
      <c r="C21" s="73"/>
      <c r="D21" s="73"/>
      <c r="E21" s="73"/>
      <c r="G21" s="2">
        <v>18</v>
      </c>
      <c r="H21" s="68" t="str">
        <f>IF(AND('tables and models'!G48&lt;&gt;"",'tables and models'!H48&lt;&gt;""),'tables and models'!G48,"")</f>
        <v/>
      </c>
      <c r="I21" s="73"/>
      <c r="J21" s="73"/>
      <c r="K21" s="73"/>
      <c r="L21" s="70" t="str">
        <f t="shared" si="1"/>
        <v/>
      </c>
      <c r="M21" s="69" t="str">
        <f t="shared" si="2"/>
        <v/>
      </c>
      <c r="N21" s="70" t="str">
        <f t="shared" si="3"/>
        <v/>
      </c>
      <c r="O21" s="69" t="str">
        <f t="shared" si="4"/>
        <v/>
      </c>
      <c r="P21" s="75" t="str">
        <f>IF(B21&lt;&gt;"","var "&amp;B21&amp;"=$('#input_"&amp;'tables and models'!$F$39&amp;"_"&amp;B21&amp;"').val();","")</f>
        <v/>
      </c>
      <c r="V21" s="75" t="str">
        <f>IF(H21&lt;&gt;"","var "&amp;H21&amp;"=$('#input_"&amp;'tables and models'!$F$39&amp;"_"&amp;H21&amp;"').val();","")</f>
        <v/>
      </c>
      <c r="W21" s="80" t="str">
        <f t="shared" si="5"/>
        <v/>
      </c>
      <c r="X21" s="77" t="str">
        <f t="shared" si="6"/>
        <v/>
      </c>
      <c r="Y21" s="2" t="str">
        <f t="shared" si="7"/>
        <v>originated_from:originated_from,directed_to:directed_to,descr:descr,thetask_id:thetask_id</v>
      </c>
      <c r="AC21" s="79" t="str">
        <f t="shared" si="8"/>
        <v/>
      </c>
      <c r="AD21" s="77" t="str">
        <f t="shared" si="0"/>
        <v/>
      </c>
      <c r="AE21" s="2" t="str">
        <f t="shared" si="9"/>
        <v/>
      </c>
      <c r="AF21" s="76" t="str">
        <f t="shared" si="10"/>
        <v/>
      </c>
      <c r="AL21" s="76" t="str">
        <f t="shared" si="11"/>
        <v/>
      </c>
      <c r="AM21" s="82" t="str">
        <f t="shared" si="12"/>
        <v/>
      </c>
      <c r="AS21" s="82" t="str">
        <f t="shared" si="13"/>
        <v/>
      </c>
    </row>
    <row r="22" spans="1:45" x14ac:dyDescent="0.25">
      <c r="A22" s="2">
        <v>9</v>
      </c>
      <c r="B22" s="68" t="str">
        <f>IF(AND('tables and models'!C49&lt;&gt;"",'tables and models'!D49&lt;&gt;""),'tables and models'!C49,"")</f>
        <v/>
      </c>
      <c r="C22" s="73"/>
      <c r="D22" s="73"/>
      <c r="E22" s="73"/>
      <c r="G22" s="2">
        <v>19</v>
      </c>
      <c r="H22" s="68" t="str">
        <f>IF(AND('tables and models'!G49&lt;&gt;"",'tables and models'!H49&lt;&gt;""),'tables and models'!G49,"")</f>
        <v/>
      </c>
      <c r="I22" s="73"/>
      <c r="J22" s="73"/>
      <c r="K22" s="73"/>
      <c r="L22" s="70" t="str">
        <f t="shared" si="1"/>
        <v/>
      </c>
      <c r="M22" s="69" t="str">
        <f t="shared" si="2"/>
        <v/>
      </c>
      <c r="N22" s="70" t="str">
        <f t="shared" si="3"/>
        <v/>
      </c>
      <c r="O22" s="69" t="str">
        <f t="shared" si="4"/>
        <v/>
      </c>
      <c r="P22" s="75" t="str">
        <f>IF(B22&lt;&gt;"","var "&amp;B22&amp;"=$('#input_"&amp;'tables and models'!$F$39&amp;"_"&amp;B22&amp;"').val();","")</f>
        <v/>
      </c>
      <c r="V22" s="75" t="str">
        <f>IF(H22&lt;&gt;"","var "&amp;H22&amp;"=$('#input_"&amp;'tables and models'!$F$39&amp;"_"&amp;H22&amp;"').val();","")</f>
        <v/>
      </c>
      <c r="W22" s="80" t="str">
        <f t="shared" si="5"/>
        <v/>
      </c>
      <c r="X22" s="77" t="str">
        <f t="shared" si="6"/>
        <v/>
      </c>
      <c r="Y22" s="2" t="str">
        <f t="shared" si="7"/>
        <v>originated_from:originated_from,directed_to:directed_to,descr:descr,thetask_id:thetask_id</v>
      </c>
      <c r="AC22" s="79" t="str">
        <f t="shared" si="8"/>
        <v/>
      </c>
      <c r="AD22" s="77" t="str">
        <f t="shared" si="0"/>
        <v/>
      </c>
      <c r="AE22" s="2" t="str">
        <f t="shared" si="9"/>
        <v/>
      </c>
      <c r="AF22" s="76" t="str">
        <f t="shared" si="10"/>
        <v/>
      </c>
      <c r="AL22" s="76" t="str">
        <f t="shared" si="11"/>
        <v/>
      </c>
      <c r="AM22" s="82" t="str">
        <f t="shared" si="12"/>
        <v/>
      </c>
      <c r="AS22" s="82" t="str">
        <f t="shared" si="13"/>
        <v/>
      </c>
    </row>
    <row r="23" spans="1:45" x14ac:dyDescent="0.25">
      <c r="A23" s="2">
        <v>10</v>
      </c>
      <c r="B23" s="68" t="str">
        <f>IF(AND('tables and models'!C50&lt;&gt;"",'tables and models'!D50&lt;&gt;""),'tables and models'!C50,"")</f>
        <v/>
      </c>
      <c r="C23" s="73"/>
      <c r="D23" s="73"/>
      <c r="E23" s="73"/>
      <c r="G23" s="2">
        <v>20</v>
      </c>
      <c r="H23" s="68" t="str">
        <f>IF(AND('tables and models'!G50&lt;&gt;"",'tables and models'!H50&lt;&gt;""),'tables and models'!G50,"")</f>
        <v/>
      </c>
      <c r="I23" s="73"/>
      <c r="J23" s="73"/>
      <c r="K23" s="73"/>
      <c r="L23" s="70" t="str">
        <f t="shared" si="1"/>
        <v/>
      </c>
      <c r="M23" s="69" t="str">
        <f t="shared" si="2"/>
        <v/>
      </c>
      <c r="N23" s="70" t="str">
        <f t="shared" si="3"/>
        <v/>
      </c>
      <c r="O23" s="69" t="str">
        <f t="shared" si="4"/>
        <v/>
      </c>
      <c r="P23" s="75" t="str">
        <f>IF(B23&lt;&gt;"","var "&amp;B23&amp;"=$('#input_"&amp;'tables and models'!$F$39&amp;"_"&amp;B23&amp;"').val();","")</f>
        <v/>
      </c>
      <c r="V23" s="75" t="str">
        <f>IF(H23&lt;&gt;"","var "&amp;H23&amp;"=$('#input_"&amp;'tables and models'!$F$39&amp;"_"&amp;H23&amp;"').val();","")</f>
        <v/>
      </c>
      <c r="W23" s="80" t="str">
        <f t="shared" si="5"/>
        <v/>
      </c>
      <c r="X23" s="77" t="str">
        <f t="shared" si="6"/>
        <v/>
      </c>
      <c r="Y23" s="81" t="str">
        <f t="shared" si="7"/>
        <v>originated_from:originated_from,directed_to:directed_to,descr:descr,thetask_id:thetask_id</v>
      </c>
      <c r="AC23" s="79" t="str">
        <f t="shared" si="8"/>
        <v/>
      </c>
      <c r="AD23" s="77" t="str">
        <f t="shared" si="0"/>
        <v/>
      </c>
      <c r="AE23" s="81" t="str">
        <f t="shared" si="9"/>
        <v/>
      </c>
      <c r="AF23" s="76" t="str">
        <f t="shared" si="10"/>
        <v/>
      </c>
      <c r="AL23" s="76" t="str">
        <f t="shared" si="11"/>
        <v/>
      </c>
      <c r="AM23" s="82" t="str">
        <f t="shared" si="12"/>
        <v/>
      </c>
      <c r="AS23" s="82" t="str">
        <f t="shared" si="13"/>
        <v/>
      </c>
    </row>
    <row r="26" spans="1:45" x14ac:dyDescent="0.25">
      <c r="B26" s="71" t="s">
        <v>387</v>
      </c>
      <c r="C26" s="13"/>
      <c r="D26" s="13"/>
      <c r="E26" s="13"/>
      <c r="F26" s="13"/>
      <c r="G26" s="13"/>
      <c r="H26" s="13"/>
      <c r="I26" s="13"/>
      <c r="J26" s="13"/>
    </row>
    <row r="27" spans="1:45" x14ac:dyDescent="0.25">
      <c r="A27" s="2" t="s">
        <v>374</v>
      </c>
      <c r="B27" s="71" t="str">
        <f>"        "&amp;M14&amp;M15&amp;M16</f>
        <v xml:space="preserve">        array('originated_from','pray','pray','1'),array('directed_to','number','number','2'),array('descr','answer','answer','1')</v>
      </c>
      <c r="C27" s="13"/>
      <c r="D27" s="13"/>
      <c r="E27" s="13"/>
      <c r="F27" s="13"/>
      <c r="G27" s="13"/>
      <c r="H27" s="13"/>
      <c r="I27" s="13"/>
      <c r="J27" s="13"/>
    </row>
    <row r="28" spans="1:45" x14ac:dyDescent="0.25">
      <c r="A28" s="2" t="s">
        <v>375</v>
      </c>
      <c r="B28" s="71" t="str">
        <f>"        "&amp;M17&amp;M18&amp;M19</f>
        <v xml:space="preserve">        ,array('thetask_id','','','')</v>
      </c>
      <c r="C28" s="13"/>
      <c r="D28" s="13"/>
      <c r="E28" s="13"/>
      <c r="F28" s="13"/>
      <c r="G28" s="13"/>
      <c r="H28" s="13"/>
      <c r="I28" s="13"/>
      <c r="J28" s="13"/>
    </row>
    <row r="29" spans="1:45" x14ac:dyDescent="0.25">
      <c r="A29" s="2" t="s">
        <v>376</v>
      </c>
      <c r="B29" s="71" t="str">
        <f>"        "&amp;M20&amp;M21&amp;M22&amp;M23</f>
        <v xml:space="preserve">        </v>
      </c>
      <c r="C29" s="13"/>
      <c r="D29" s="13"/>
      <c r="E29" s="13"/>
      <c r="F29" s="13"/>
      <c r="G29" s="13"/>
      <c r="H29" s="13"/>
      <c r="I29" s="13"/>
      <c r="J29" s="13"/>
    </row>
    <row r="30" spans="1:45" x14ac:dyDescent="0.25">
      <c r="A30" s="2" t="s">
        <v>377</v>
      </c>
      <c r="B30" s="71" t="str">
        <f>"        "&amp;O14&amp;O15&amp;O16</f>
        <v xml:space="preserve">        </v>
      </c>
      <c r="C30" s="13"/>
      <c r="D30" s="13"/>
      <c r="E30" s="13"/>
      <c r="F30" s="13"/>
      <c r="G30" s="13"/>
      <c r="H30" s="13"/>
      <c r="I30" s="13"/>
      <c r="J30" s="13"/>
    </row>
    <row r="31" spans="1:45" x14ac:dyDescent="0.25">
      <c r="A31" s="2" t="s">
        <v>378</v>
      </c>
      <c r="B31" s="71" t="str">
        <f>"        "&amp;O17&amp;O18&amp;O19</f>
        <v xml:space="preserve">        </v>
      </c>
      <c r="C31" s="13"/>
      <c r="D31" s="13"/>
      <c r="E31" s="13"/>
      <c r="F31" s="13"/>
      <c r="G31" s="13"/>
      <c r="H31" s="13"/>
      <c r="I31" s="13"/>
      <c r="J31" s="13"/>
    </row>
    <row r="32" spans="1:45" x14ac:dyDescent="0.25">
      <c r="A32" s="2" t="s">
        <v>379</v>
      </c>
      <c r="B32" s="71" t="str">
        <f>"        "&amp;O20&amp;O21&amp;O22&amp;O23</f>
        <v xml:space="preserve">        </v>
      </c>
      <c r="C32" s="13"/>
      <c r="D32" s="13"/>
      <c r="E32" s="13"/>
      <c r="F32" s="13"/>
      <c r="G32" s="13"/>
      <c r="H32" s="13"/>
      <c r="I32" s="13"/>
      <c r="J32" s="13"/>
    </row>
    <row r="33" spans="2:10" x14ac:dyDescent="0.25">
      <c r="B33" s="71" t="s">
        <v>386</v>
      </c>
      <c r="C33" s="13"/>
      <c r="D33" s="13"/>
      <c r="E33" s="13"/>
      <c r="F33" s="13"/>
      <c r="G33" s="13"/>
      <c r="H33" s="13"/>
      <c r="I33" s="13"/>
      <c r="J33" s="13"/>
    </row>
    <row r="35" spans="2:10" x14ac:dyDescent="0.25">
      <c r="B35" s="72" t="s">
        <v>383</v>
      </c>
      <c r="C35" s="13"/>
      <c r="D35" s="13"/>
      <c r="E35" s="13"/>
      <c r="F35" s="13"/>
      <c r="G35" s="13"/>
      <c r="H35" s="13"/>
      <c r="I35" s="13"/>
      <c r="J35" s="13"/>
    </row>
    <row r="36" spans="2:10" x14ac:dyDescent="0.25">
      <c r="B36" s="72" t="s">
        <v>384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 t="s">
        <v>385</v>
      </c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 t="s">
        <v>408</v>
      </c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72" t="s">
        <v>409</v>
      </c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71" t="str">
        <f>"        &lt;input class='newinput_"&amp;'tables and models'!F39&amp;"' type='text' id='input_"&amp;'tables and models'!F39&amp;"_{{$h[0]}}' placeholder='{{$h[2]}}'&gt;"</f>
        <v xml:space="preserve">        &lt;input class='newinput_taskdiscussion' type='text' id='input_taskdiscussion_{{$h[0]}}' placeholder='{{$h[2]}}'&gt;</v>
      </c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72" t="s">
        <v>416</v>
      </c>
      <c r="C41" s="13"/>
      <c r="D41" s="13"/>
      <c r="E41" s="13"/>
      <c r="F41" s="13"/>
      <c r="G41" s="13"/>
      <c r="H41" s="13"/>
      <c r="I41" s="13"/>
      <c r="J41" s="13"/>
    </row>
    <row r="42" spans="2:10" x14ac:dyDescent="0.25">
      <c r="B42" s="83" t="str">
        <f>"        &lt;select class='newselect_"&amp;'tables and models'!F39&amp;"'  id='input_"&amp;'tables and models'!F39&amp;"_{{$h[0]}}' &gt;"</f>
        <v xml:space="preserve">        &lt;select class='newselect_taskdiscussion'  id='input_taskdiscussion_{{$h[0]}}' &gt;</v>
      </c>
      <c r="C42" s="13"/>
      <c r="D42" s="13"/>
      <c r="E42" s="13"/>
      <c r="F42" s="13"/>
      <c r="G42" s="13"/>
      <c r="H42" s="13"/>
      <c r="I42" s="13"/>
      <c r="J42" s="13"/>
    </row>
    <row r="43" spans="2:10" x14ac:dyDescent="0.25">
      <c r="B43" s="13" t="s">
        <v>422</v>
      </c>
      <c r="C43" s="13"/>
      <c r="D43" s="13"/>
      <c r="E43" s="13"/>
      <c r="F43" s="13"/>
      <c r="G43" s="13"/>
      <c r="H43" s="13"/>
      <c r="I43" s="13"/>
      <c r="J43" s="13"/>
    </row>
    <row r="44" spans="2:10" x14ac:dyDescent="0.25">
      <c r="B44" s="84" t="s">
        <v>418</v>
      </c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72" t="s">
        <v>419</v>
      </c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72" t="s">
        <v>421</v>
      </c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72" t="s">
        <v>420</v>
      </c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72" t="s">
        <v>417</v>
      </c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B49" s="72" t="s">
        <v>410</v>
      </c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B50" s="72" t="s">
        <v>412</v>
      </c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B51" s="72" t="str">
        <f>"        &lt;input class='newinput_"&amp;'tables and models'!F39&amp;"' type='hidden' id='input_"&amp;'tables and models'!F39&amp;"_{{$h[0]}}' &gt;"</f>
        <v xml:space="preserve">        &lt;input class='newinput_taskdiscussion' type='hidden' id='input_taskdiscussion_{{$h[0]}}' &gt;</v>
      </c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B52" s="72" t="s">
        <v>411</v>
      </c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B53" s="13" t="s">
        <v>163</v>
      </c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B54" s="13" t="s">
        <v>161</v>
      </c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B55" s="72" t="s">
        <v>105</v>
      </c>
      <c r="C55" s="13"/>
      <c r="D55" s="13"/>
      <c r="E55" s="13"/>
      <c r="F55" s="13"/>
      <c r="G55" s="13"/>
      <c r="H55" s="13"/>
      <c r="I55" s="13"/>
      <c r="J55" s="13"/>
    </row>
    <row r="57" spans="1:10" x14ac:dyDescent="0.25">
      <c r="B57" s="71" t="str">
        <f>"&lt;button class='btn' id='createnew"&amp;'tables and models'!F39&amp;"_row'&gt;Save&lt;/button&gt;"</f>
        <v>&lt;button class='btn' id='createnewtaskdiscussion_row'&gt;Save&lt;/button&gt;</v>
      </c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B58" s="71" t="str">
        <f>"&lt;img class='hide' id='wait_while_creating_"&amp;'tables and models'!F39&amp;"' src='{{URL::to("&amp;P1&amp;"assets/img/progressBar.gif"&amp;P1&amp;")}}'/&gt;"</f>
        <v>&lt;img class='hide' id='wait_while_creating_taskdiscussion' src='{{URL::to("assets/img/progressBar.gif")}}'/&gt;</v>
      </c>
      <c r="C58" s="13"/>
      <c r="D58" s="13"/>
      <c r="E58" s="13"/>
      <c r="F58" s="13"/>
      <c r="G58" s="13"/>
      <c r="H58" s="13"/>
      <c r="I58" s="13"/>
      <c r="J58" s="13"/>
    </row>
    <row r="60" spans="1:10" x14ac:dyDescent="0.25">
      <c r="B60" s="2" t="s">
        <v>388</v>
      </c>
    </row>
    <row r="61" spans="1:10" x14ac:dyDescent="0.25">
      <c r="B61" s="13" t="str">
        <f>"$('#createnew"&amp;'tables and models'!F39&amp;"_row').click(function(){"</f>
        <v>$('#createnewtaskdiscussion_row').click(function(){</v>
      </c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2" t="s">
        <v>374</v>
      </c>
      <c r="B62" s="76" t="str">
        <f>"    "&amp;P14&amp;P15&amp;P16</f>
        <v xml:space="preserve">    var originated_from=$('#input_taskdiscussion_originated_from').val();var directed_to=$('#input_taskdiscussion_directed_to').val();var descr=$('#input_taskdiscussion_descr').val();</v>
      </c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2" t="s">
        <v>375</v>
      </c>
      <c r="B63" s="76" t="str">
        <f>"    "&amp;P17&amp;P18&amp;P19</f>
        <v xml:space="preserve">    var thetask_id=$('#input_taskdiscussion_thetask_id').val();</v>
      </c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2" t="s">
        <v>376</v>
      </c>
      <c r="B64" s="76" t="str">
        <f>"    "&amp;P20&amp;P21&amp;P22&amp;P23</f>
        <v xml:space="preserve">    </v>
      </c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2" t="s">
        <v>377</v>
      </c>
      <c r="B65" s="76" t="str">
        <f>"    "&amp;V14&amp;V15&amp;V16</f>
        <v xml:space="preserve">    </v>
      </c>
      <c r="C65" s="13"/>
      <c r="D65" s="13"/>
      <c r="E65" s="13"/>
      <c r="F65" s="13"/>
      <c r="G65" s="13"/>
      <c r="H65" s="13"/>
      <c r="I65" s="13"/>
      <c r="J65" s="13"/>
    </row>
    <row r="66" spans="1:10" x14ac:dyDescent="0.25">
      <c r="A66" s="2" t="s">
        <v>378</v>
      </c>
      <c r="B66" s="76" t="str">
        <f>"    "&amp;V17&amp;V18&amp;V19</f>
        <v xml:space="preserve">    </v>
      </c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2" t="s">
        <v>379</v>
      </c>
      <c r="B67" s="76" t="str">
        <f>"    "&amp;V20&amp;V21&amp;V22&amp;V23</f>
        <v xml:space="preserve">    </v>
      </c>
      <c r="C67" s="13"/>
      <c r="D67" s="13"/>
      <c r="E67" s="13"/>
      <c r="F67" s="13"/>
      <c r="G67" s="13"/>
      <c r="H67" s="13"/>
      <c r="I67" s="13"/>
      <c r="J67" s="13"/>
    </row>
    <row r="68" spans="1:10" s="32" customFormat="1" x14ac:dyDescent="0.25">
      <c r="B68" s="74" t="s">
        <v>389</v>
      </c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B69" s="71" t="str">
        <f>"    $('#wait_while_creating_"&amp;'tables and models'!F39&amp;"').show(); "</f>
        <v xml:space="preserve">    $('#wait_while_creating_taskdiscussion').show(); </v>
      </c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B70" s="13" t="s">
        <v>390</v>
      </c>
      <c r="C70" s="13"/>
      <c r="D70" s="13"/>
      <c r="E70" s="13"/>
      <c r="F70" s="13"/>
      <c r="G70" s="13"/>
      <c r="H70" s="13"/>
      <c r="I70" s="13"/>
      <c r="J70" s="13"/>
    </row>
    <row r="71" spans="1:10" x14ac:dyDescent="0.25">
      <c r="B71" s="71" t="str">
        <f>"    $.post(base+'/ajax/"&amp;'tables and models'!F39&amp;"new',{"&amp;Y23&amp;AE23&amp;"},function(d){"</f>
        <v xml:space="preserve">    $.post(base+'/ajax/taskdiscussionnew',{originated_from:originated_from,directed_to:directed_to,descr:descr,thetask_id:thetask_id},function(d){</v>
      </c>
      <c r="C71" s="13"/>
      <c r="D71" s="13"/>
      <c r="E71" s="13"/>
      <c r="F71" s="13"/>
      <c r="G71" s="13"/>
      <c r="H71" s="13"/>
      <c r="I71" s="13"/>
      <c r="J71" s="13"/>
    </row>
    <row r="72" spans="1:10" x14ac:dyDescent="0.25">
      <c r="B72" s="13" t="str">
        <f>"        $('#createnew"&amp;'tables and models'!F39&amp;"_row').show();"</f>
        <v xml:space="preserve">        $('#createnewtaskdiscussion_row').show();</v>
      </c>
      <c r="C72" s="13"/>
      <c r="D72" s="13"/>
      <c r="E72" s="13"/>
      <c r="F72" s="13"/>
      <c r="G72" s="13"/>
      <c r="H72" s="13"/>
      <c r="I72" s="13"/>
      <c r="J72" s="13"/>
    </row>
    <row r="73" spans="1:10" x14ac:dyDescent="0.25">
      <c r="B73" s="13" t="str">
        <f>"        $('#wait_while_creating_"&amp;'tables and models'!F39&amp;"').hide();"</f>
        <v xml:space="preserve">        $('#wait_while_creating_taskdiscussion').hide();</v>
      </c>
      <c r="C73" s="13"/>
      <c r="D73" s="13"/>
      <c r="E73" s="13"/>
      <c r="F73" s="13"/>
      <c r="G73" s="13"/>
      <c r="H73" s="13"/>
      <c r="I73" s="13"/>
      <c r="J73" s="13"/>
    </row>
    <row r="74" spans="1:10" x14ac:dyDescent="0.25">
      <c r="B74" s="13" t="str">
        <f>"        $('.newinput_"&amp;'tables and models'!F39&amp;"').val('');"</f>
        <v xml:space="preserve">        $('.newinput_taskdiscussion').val('');</v>
      </c>
      <c r="C74" s="13"/>
      <c r="D74" s="13"/>
      <c r="E74" s="13"/>
      <c r="F74" s="13"/>
      <c r="G74" s="13"/>
      <c r="H74" s="13"/>
      <c r="I74" s="13"/>
      <c r="J74" s="13"/>
    </row>
    <row r="75" spans="1:10" x14ac:dyDescent="0.25">
      <c r="B75" s="13" t="s">
        <v>391</v>
      </c>
      <c r="C75" s="13"/>
      <c r="D75" s="13"/>
      <c r="E75" s="13"/>
      <c r="F75" s="13"/>
      <c r="G75" s="13"/>
      <c r="H75" s="13"/>
      <c r="I75" s="13"/>
      <c r="J75" s="13"/>
    </row>
    <row r="76" spans="1:10" x14ac:dyDescent="0.25">
      <c r="B76" s="13" t="s">
        <v>82</v>
      </c>
      <c r="C76" s="13"/>
      <c r="D76" s="13"/>
      <c r="E76" s="13"/>
      <c r="F76" s="13"/>
      <c r="G76" s="13"/>
      <c r="H76" s="13"/>
      <c r="I76" s="13"/>
      <c r="J76" s="13"/>
    </row>
    <row r="79" spans="1:10" x14ac:dyDescent="0.25">
      <c r="B79" s="2" t="s">
        <v>392</v>
      </c>
    </row>
    <row r="80" spans="1:10" x14ac:dyDescent="0.25">
      <c r="B80" s="71" t="str">
        <f>"    public function post"&amp;'tables and models'!G39&amp;"new (){"</f>
        <v xml:space="preserve">    public function postTaskdiscussionnew (){</v>
      </c>
      <c r="C80" s="13"/>
      <c r="D80" s="13"/>
      <c r="E80" s="13"/>
      <c r="F80" s="13"/>
      <c r="G80" s="13"/>
      <c r="H80" s="13"/>
      <c r="I80" s="13"/>
      <c r="J80" s="13"/>
    </row>
    <row r="81" spans="1:12" x14ac:dyDescent="0.25">
      <c r="B81" s="13" t="str">
        <f>"    $insert=new "&amp;'tables and models'!G39&amp;";"</f>
        <v xml:space="preserve">    $insert=new Taskdiscussion;</v>
      </c>
      <c r="C81" s="13"/>
      <c r="D81" s="13"/>
      <c r="E81" s="13"/>
      <c r="F81" s="13"/>
      <c r="G81" s="13"/>
      <c r="H81" s="13"/>
      <c r="I81" s="13"/>
      <c r="J81" s="13"/>
    </row>
    <row r="82" spans="1:12" x14ac:dyDescent="0.25">
      <c r="A82" s="2" t="s">
        <v>374</v>
      </c>
      <c r="B82" s="76" t="str">
        <f>"    "&amp;AM14&amp;AM15&amp;AM16</f>
        <v xml:space="preserve">    $insert-&gt;originated_from=$_POST['originated_from'];$insert-&gt;directed_to=$_POST['directed_to'];$insert-&gt;descr=$_POST['descr'];</v>
      </c>
      <c r="C82" s="13"/>
      <c r="D82" s="13"/>
      <c r="E82" s="13"/>
      <c r="F82" s="13"/>
      <c r="G82" s="13"/>
      <c r="H82" s="13"/>
      <c r="I82" s="13"/>
      <c r="J82" s="13"/>
    </row>
    <row r="83" spans="1:12" x14ac:dyDescent="0.25">
      <c r="A83" s="2" t="s">
        <v>375</v>
      </c>
      <c r="B83" s="76" t="str">
        <f>"    "&amp;AM17&amp;AM18&amp;AM19</f>
        <v xml:space="preserve">    $insert-&gt;thetask_id=$_POST['thetask_id'];</v>
      </c>
      <c r="C83" s="13"/>
      <c r="D83" s="13"/>
      <c r="E83" s="13"/>
      <c r="F83" s="13"/>
      <c r="G83" s="13"/>
      <c r="H83" s="13"/>
      <c r="I83" s="13"/>
      <c r="J83" s="13"/>
    </row>
    <row r="84" spans="1:12" x14ac:dyDescent="0.25">
      <c r="A84" s="2" t="s">
        <v>376</v>
      </c>
      <c r="B84" s="76" t="str">
        <f>"    "&amp;AM20&amp;AM21&amp;AM22&amp;AM23</f>
        <v xml:space="preserve">    </v>
      </c>
      <c r="C84" s="13"/>
      <c r="D84" s="13"/>
      <c r="E84" s="13"/>
      <c r="F84" s="13"/>
      <c r="G84" s="13"/>
      <c r="H84" s="13"/>
      <c r="I84" s="13"/>
      <c r="J84" s="13"/>
    </row>
    <row r="85" spans="1:12" x14ac:dyDescent="0.25">
      <c r="A85" s="2" t="s">
        <v>377</v>
      </c>
      <c r="B85" s="76" t="str">
        <f>"    "&amp;AS14&amp;AS15&amp;AS16</f>
        <v xml:space="preserve">    </v>
      </c>
      <c r="C85" s="13"/>
      <c r="D85" s="13"/>
      <c r="E85" s="13"/>
      <c r="F85" s="13"/>
      <c r="G85" s="13"/>
      <c r="H85" s="13"/>
      <c r="I85" s="13"/>
      <c r="J85" s="13"/>
    </row>
    <row r="86" spans="1:12" x14ac:dyDescent="0.25">
      <c r="A86" s="2" t="s">
        <v>378</v>
      </c>
      <c r="B86" s="76" t="str">
        <f>"    "&amp;AS17&amp;AS18&amp;AS19</f>
        <v xml:space="preserve">    </v>
      </c>
      <c r="C86" s="13"/>
      <c r="D86" s="13"/>
      <c r="E86" s="13"/>
      <c r="F86" s="13"/>
      <c r="G86" s="13"/>
      <c r="H86" s="13"/>
      <c r="I86" s="13"/>
      <c r="J86" s="13"/>
    </row>
    <row r="87" spans="1:12" x14ac:dyDescent="0.25">
      <c r="A87" s="2" t="s">
        <v>379</v>
      </c>
      <c r="B87" s="76" t="str">
        <f>"    "&amp;AS20&amp;AS21&amp;AS22&amp;AS23</f>
        <v xml:space="preserve">    </v>
      </c>
      <c r="C87" s="13"/>
      <c r="D87" s="13"/>
      <c r="E87" s="13"/>
      <c r="F87" s="13"/>
      <c r="G87" s="13"/>
      <c r="H87" s="13"/>
      <c r="I87" s="13"/>
      <c r="J87" s="13"/>
    </row>
    <row r="88" spans="1:12" x14ac:dyDescent="0.25">
      <c r="B88" s="13" t="s">
        <v>399</v>
      </c>
      <c r="C88" s="13"/>
      <c r="D88" s="13"/>
      <c r="E88" s="13"/>
      <c r="F88" s="13"/>
      <c r="G88" s="13"/>
      <c r="H88" s="13"/>
      <c r="I88" s="13"/>
      <c r="J88" s="13"/>
    </row>
    <row r="89" spans="1:12" x14ac:dyDescent="0.25">
      <c r="B89" s="13" t="s">
        <v>394</v>
      </c>
      <c r="C89" s="13"/>
      <c r="D89" s="13"/>
      <c r="E89" s="13"/>
      <c r="F89" s="13"/>
      <c r="G89" s="13"/>
      <c r="H89" s="13"/>
      <c r="I89" s="13"/>
      <c r="J89" s="13"/>
    </row>
    <row r="90" spans="1:12" x14ac:dyDescent="0.25">
      <c r="B90" s="13" t="s">
        <v>393</v>
      </c>
      <c r="C90" s="13"/>
      <c r="D90" s="13"/>
      <c r="E90" s="13"/>
      <c r="F90" s="13"/>
      <c r="G90" s="13"/>
      <c r="H90" s="13"/>
      <c r="I90" s="13"/>
      <c r="J90" s="13"/>
    </row>
    <row r="91" spans="1:12" x14ac:dyDescent="0.25">
      <c r="B91" s="13"/>
      <c r="C91" s="13"/>
      <c r="D91" s="13"/>
      <c r="E91" s="13"/>
      <c r="F91" s="13"/>
      <c r="G91" s="13"/>
      <c r="H91" s="13"/>
      <c r="I91" s="13"/>
      <c r="J91" s="13"/>
    </row>
    <row r="96" spans="1:12" x14ac:dyDescent="0.25">
      <c r="C96" s="2" t="s">
        <v>423</v>
      </c>
      <c r="D96" s="2" t="s">
        <v>427</v>
      </c>
      <c r="E96" s="2" t="s">
        <v>429</v>
      </c>
      <c r="F96" s="2" t="s">
        <v>440</v>
      </c>
      <c r="I96" s="2" t="s">
        <v>423</v>
      </c>
      <c r="J96" s="2" t="s">
        <v>427</v>
      </c>
      <c r="K96" s="2" t="s">
        <v>428</v>
      </c>
      <c r="L96" s="2" t="s">
        <v>440</v>
      </c>
    </row>
    <row r="97" spans="1:39" x14ac:dyDescent="0.25">
      <c r="A97" s="2">
        <v>1</v>
      </c>
      <c r="B97" s="85" t="str">
        <f>IF(AND('tables and models'!C41&lt;&gt;"",'tables and models'!D41&lt;&gt;""),'tables and models'!C41,"")</f>
        <v>originated_from</v>
      </c>
      <c r="C97" s="76" t="s">
        <v>430</v>
      </c>
      <c r="D97" s="76">
        <v>1</v>
      </c>
      <c r="E97" s="76">
        <v>1</v>
      </c>
      <c r="F97" s="76">
        <v>1</v>
      </c>
      <c r="G97" s="2">
        <v>11</v>
      </c>
      <c r="H97" s="85" t="str">
        <f>IF(AND('tables and models'!G41&lt;&gt;"",'tables and models'!H41&lt;&gt;""),'tables and models'!G41,"")</f>
        <v/>
      </c>
      <c r="I97" s="76"/>
      <c r="J97" s="76"/>
      <c r="K97" s="76">
        <v>1</v>
      </c>
      <c r="L97" s="76">
        <v>1</v>
      </c>
      <c r="M97" s="86" t="str">
        <f>IF(AND(A97&lt;&gt;1,B97&lt;&gt;""),",","")</f>
        <v/>
      </c>
      <c r="N97" s="79" t="str">
        <f>IF(B97&lt;&gt;"",M97&amp;"array('"&amp;B97&amp;"','"&amp;C97&amp;"','"&amp;D97&amp;"','"&amp;E97&amp;"','"&amp;F97&amp;"')","")</f>
        <v>array('originated_from','Name','1','1','1')</v>
      </c>
      <c r="O97" s="8" t="str">
        <f>IF(AND(B97&lt;&gt;"",E97=1),M97&amp;B97&amp;":"&amp;B97,"")</f>
        <v>originated_from:originated_from</v>
      </c>
      <c r="P97" s="82" t="str">
        <f>P96&amp;O97</f>
        <v>originated_from:originated_from</v>
      </c>
      <c r="S97" s="86" t="str">
        <f>IF(AND(G97&lt;&gt;1,H97&lt;&gt;""),",","")</f>
        <v/>
      </c>
      <c r="T97" s="79" t="str">
        <f>IF(H97&lt;&gt;"",S97&amp;"array('"&amp;H97&amp;"','"&amp;I97&amp;"','"&amp;J97&amp;"','"&amp;K97&amp;"','"&amp;L97&amp;"')","")</f>
        <v/>
      </c>
      <c r="U97" s="8" t="str">
        <f>IF(AND(H97&lt;&gt;"",K97=1),S97&amp;H97&amp;":"&amp;H97,"")</f>
        <v/>
      </c>
      <c r="V97" s="82" t="str">
        <f>V96&amp;U97</f>
        <v/>
      </c>
      <c r="X97" s="88" t="str">
        <f>IF(AND(B97&lt;&gt;"",E97=1),"var "&amp;B97&amp;"=$('#input_"&amp;'tables and models'!$F$39&amp;B97&amp;"'+id).val();","")</f>
        <v>var originated_from=$('#input_taskdiscussionoriginated_from'+id).val();</v>
      </c>
      <c r="AD97" s="88" t="str">
        <f>IF(AND(H97&lt;&gt;"",K97=1),"var "&amp;H97&amp;"=$('#input_"&amp;'tables and models'!$F$39&amp;H97&amp;"'+id).val();","")</f>
        <v/>
      </c>
      <c r="AF97" s="79" t="str">
        <f>IF(AND(B97&lt;&gt;"",E97=1),M97&amp;"'"&amp;B97&amp;"'=&gt;$_POST['"&amp;B97&amp;"']","")</f>
        <v>'originated_from'=&gt;$_POST['originated_from']</v>
      </c>
      <c r="AG97" s="82" t="str">
        <f>AG96&amp;AF97</f>
        <v>'originated_from'=&gt;$_POST['originated_from']</v>
      </c>
      <c r="AL97" s="79" t="str">
        <f>IF(AND(H97&lt;&gt;"",K97=1),S97&amp;"'"&amp;H97&amp;"'=&gt;$_POST['"&amp;H97&amp;"']","")</f>
        <v/>
      </c>
      <c r="AM97" s="82" t="str">
        <f>AM96&amp;AL97</f>
        <v/>
      </c>
    </row>
    <row r="98" spans="1:39" x14ac:dyDescent="0.25">
      <c r="A98" s="2">
        <v>2</v>
      </c>
      <c r="B98" s="85" t="str">
        <f>IF(AND('tables and models'!C42&lt;&gt;"",'tables and models'!D42&lt;&gt;""),'tables and models'!C42,"")</f>
        <v>directed_to</v>
      </c>
      <c r="C98" s="76" t="s">
        <v>433</v>
      </c>
      <c r="D98" s="76">
        <v>1</v>
      </c>
      <c r="E98" s="76">
        <v>1</v>
      </c>
      <c r="F98" s="76">
        <v>1</v>
      </c>
      <c r="G98" s="2">
        <v>12</v>
      </c>
      <c r="H98" s="85" t="str">
        <f>IF(AND('tables and models'!G42&lt;&gt;"",'tables and models'!H42&lt;&gt;""),'tables and models'!G42,"")</f>
        <v/>
      </c>
      <c r="I98" s="76"/>
      <c r="J98" s="76"/>
      <c r="K98" s="76"/>
      <c r="L98" s="76">
        <v>1</v>
      </c>
      <c r="M98" s="86" t="str">
        <f t="shared" ref="M98:M106" si="14">IF(AND(A98&lt;&gt;1,B98&lt;&gt;""),",","")</f>
        <v>,</v>
      </c>
      <c r="N98" s="79" t="str">
        <f t="shared" ref="N98:N106" si="15">IF(B98&lt;&gt;"",M98&amp;"array('"&amp;B98&amp;"','"&amp;C98&amp;"','"&amp;D98&amp;"','"&amp;E98&amp;"','"&amp;F98&amp;"')","")</f>
        <v>,array('directed_to','Amount','1','1','1')</v>
      </c>
      <c r="O98" s="8" t="str">
        <f t="shared" ref="O98:O106" si="16">IF(AND(B98&lt;&gt;"",E98=1),M98&amp;B98&amp;":"&amp;B98,"")</f>
        <v>,directed_to:directed_to</v>
      </c>
      <c r="P98" s="82" t="str">
        <f>P97&amp;O98</f>
        <v>originated_from:originated_from,directed_to:directed_to</v>
      </c>
      <c r="S98" s="86" t="str">
        <f t="shared" ref="S98:S106" si="17">IF(AND(G98&lt;&gt;1,H98&lt;&gt;""),",","")</f>
        <v/>
      </c>
      <c r="T98" s="79" t="str">
        <f t="shared" ref="T98:T106" si="18">IF(H98&lt;&gt;"",S98&amp;"array('"&amp;H98&amp;"','"&amp;I98&amp;"','"&amp;J98&amp;"','"&amp;K98&amp;"','"&amp;L98&amp;"')","")</f>
        <v/>
      </c>
      <c r="U98" s="8" t="str">
        <f t="shared" ref="U98:U106" si="19">IF(AND(H98&lt;&gt;"",K98=1),S98&amp;H98&amp;":"&amp;H98,"")</f>
        <v/>
      </c>
      <c r="V98" s="82" t="str">
        <f>V97&amp;U98</f>
        <v/>
      </c>
      <c r="X98" s="88" t="str">
        <f>IF(AND(B98&lt;&gt;"",E98=1),"var "&amp;B98&amp;"=$('#input_"&amp;'tables and models'!$F$39&amp;B98&amp;"'+id).val();","")</f>
        <v>var directed_to=$('#input_taskdiscussiondirected_to'+id).val();</v>
      </c>
      <c r="AD98" s="88" t="str">
        <f>IF(AND(H98&lt;&gt;"",K98=1),"var "&amp;H98&amp;"=$('#input_"&amp;'tables and models'!$F$39&amp;H98&amp;"'+id).val();","")</f>
        <v/>
      </c>
      <c r="AF98" s="79" t="str">
        <f t="shared" ref="AF98:AF106" si="20">IF(AND(B98&lt;&gt;"",E98=1),M98&amp;"'"&amp;B98&amp;"'=&gt;$_POST['"&amp;B98&amp;"']","")</f>
        <v>,'directed_to'=&gt;$_POST['directed_to']</v>
      </c>
      <c r="AG98" s="82" t="str">
        <f t="shared" ref="AG98:AG106" si="21">AG97&amp;AF98</f>
        <v>'originated_from'=&gt;$_POST['originated_from'],'directed_to'=&gt;$_POST['directed_to']</v>
      </c>
      <c r="AL98" s="79" t="str">
        <f t="shared" ref="AL98:AL106" si="22">IF(AND(H98&lt;&gt;"",K98=1),S98&amp;"'"&amp;H98&amp;"'=&gt;$_POST['"&amp;H98&amp;"']","")</f>
        <v/>
      </c>
      <c r="AM98" s="82" t="str">
        <f t="shared" ref="AM98:AM106" si="23">AM97&amp;AL98</f>
        <v/>
      </c>
    </row>
    <row r="99" spans="1:39" x14ac:dyDescent="0.25">
      <c r="A99" s="2">
        <v>3</v>
      </c>
      <c r="B99" s="85" t="str">
        <f>IF(AND('tables and models'!C43&lt;&gt;"",'tables and models'!D43&lt;&gt;""),'tables and models'!C43,"")</f>
        <v>descr</v>
      </c>
      <c r="C99" s="76" t="s">
        <v>434</v>
      </c>
      <c r="D99" s="76">
        <v>1</v>
      </c>
      <c r="E99" s="76">
        <v>1</v>
      </c>
      <c r="F99" s="76">
        <v>1</v>
      </c>
      <c r="G99" s="2">
        <v>13</v>
      </c>
      <c r="H99" s="85" t="str">
        <f>IF(AND('tables and models'!G43&lt;&gt;"",'tables and models'!H43&lt;&gt;""),'tables and models'!G43,"")</f>
        <v/>
      </c>
      <c r="I99" s="76"/>
      <c r="J99" s="76"/>
      <c r="K99" s="76"/>
      <c r="L99" s="76">
        <v>1</v>
      </c>
      <c r="M99" s="86" t="str">
        <f t="shared" si="14"/>
        <v>,</v>
      </c>
      <c r="N99" s="79" t="str">
        <f t="shared" si="15"/>
        <v>,array('descr','Description','1','1','1')</v>
      </c>
      <c r="O99" s="8" t="str">
        <f t="shared" si="16"/>
        <v>,descr:descr</v>
      </c>
      <c r="P99" s="82" t="str">
        <f t="shared" ref="P99:P106" si="24">P98&amp;O99</f>
        <v>originated_from:originated_from,directed_to:directed_to,descr:descr</v>
      </c>
      <c r="S99" s="86" t="str">
        <f t="shared" si="17"/>
        <v/>
      </c>
      <c r="T99" s="79" t="str">
        <f t="shared" si="18"/>
        <v/>
      </c>
      <c r="U99" s="8" t="str">
        <f t="shared" si="19"/>
        <v/>
      </c>
      <c r="V99" s="82" t="str">
        <f t="shared" ref="V99:V106" si="25">V98&amp;U99</f>
        <v/>
      </c>
      <c r="X99" s="88" t="str">
        <f>IF(AND(B99&lt;&gt;"",E99=1),"var "&amp;B99&amp;"=$('#input_"&amp;'tables and models'!$F$39&amp;B99&amp;"'+id).val();","")</f>
        <v>var descr=$('#input_taskdiscussiondescr'+id).val();</v>
      </c>
      <c r="AD99" s="88" t="str">
        <f>IF(AND(H99&lt;&gt;"",K99=1),"var "&amp;H99&amp;"=$('#input_"&amp;'tables and models'!$F$39&amp;H99&amp;"'+id).val();","")</f>
        <v/>
      </c>
      <c r="AF99" s="79" t="str">
        <f t="shared" si="20"/>
        <v>,'descr'=&gt;$_POST['descr']</v>
      </c>
      <c r="AG99" s="82" t="str">
        <f t="shared" si="21"/>
        <v>'originated_from'=&gt;$_POST['originated_from'],'directed_to'=&gt;$_POST['directed_to'],'descr'=&gt;$_POST['descr']</v>
      </c>
      <c r="AL99" s="79" t="str">
        <f t="shared" si="22"/>
        <v/>
      </c>
      <c r="AM99" s="82" t="str">
        <f t="shared" si="23"/>
        <v/>
      </c>
    </row>
    <row r="100" spans="1:39" x14ac:dyDescent="0.25">
      <c r="A100" s="2">
        <v>4</v>
      </c>
      <c r="B100" s="85" t="str">
        <f>IF(AND('tables and models'!C44&lt;&gt;"",'tables and models'!D44&lt;&gt;""),'tables and models'!C44,"")</f>
        <v>thetask_id</v>
      </c>
      <c r="C100" s="76"/>
      <c r="D100" s="76"/>
      <c r="E100" s="76"/>
      <c r="F100" s="76"/>
      <c r="G100" s="2">
        <v>14</v>
      </c>
      <c r="H100" s="85" t="str">
        <f>IF(AND('tables and models'!G44&lt;&gt;"",'tables and models'!H44&lt;&gt;""),'tables and models'!G44,"")</f>
        <v/>
      </c>
      <c r="I100" s="76"/>
      <c r="J100" s="76"/>
      <c r="K100" s="76"/>
      <c r="L100" s="76"/>
      <c r="M100" s="86" t="str">
        <f t="shared" si="14"/>
        <v>,</v>
      </c>
      <c r="N100" s="79" t="str">
        <f t="shared" si="15"/>
        <v>,array('thetask_id','','','','')</v>
      </c>
      <c r="O100" s="8" t="str">
        <f t="shared" si="16"/>
        <v/>
      </c>
      <c r="P100" s="82" t="str">
        <f t="shared" si="24"/>
        <v>originated_from:originated_from,directed_to:directed_to,descr:descr</v>
      </c>
      <c r="S100" s="86" t="str">
        <f t="shared" si="17"/>
        <v/>
      </c>
      <c r="T100" s="79" t="str">
        <f t="shared" si="18"/>
        <v/>
      </c>
      <c r="U100" s="8" t="str">
        <f t="shared" si="19"/>
        <v/>
      </c>
      <c r="V100" s="82" t="str">
        <f t="shared" si="25"/>
        <v/>
      </c>
      <c r="X100" s="88" t="str">
        <f>IF(AND(B100&lt;&gt;"",E100=1),"var "&amp;B100&amp;"=$('#input_"&amp;'tables and models'!$F$39&amp;B100&amp;"'+id).val();","")</f>
        <v/>
      </c>
      <c r="AD100" s="88" t="str">
        <f>IF(AND(H100&lt;&gt;"",K100=1),"var "&amp;H100&amp;"=$('#input_"&amp;'tables and models'!$F$39&amp;H100&amp;"'+id).val();","")</f>
        <v/>
      </c>
      <c r="AF100" s="79" t="str">
        <f t="shared" si="20"/>
        <v/>
      </c>
      <c r="AG100" s="82" t="str">
        <f t="shared" si="21"/>
        <v>'originated_from'=&gt;$_POST['originated_from'],'directed_to'=&gt;$_POST['directed_to'],'descr'=&gt;$_POST['descr']</v>
      </c>
      <c r="AL100" s="79" t="str">
        <f t="shared" si="22"/>
        <v/>
      </c>
      <c r="AM100" s="82" t="str">
        <f t="shared" si="23"/>
        <v/>
      </c>
    </row>
    <row r="101" spans="1:39" x14ac:dyDescent="0.25">
      <c r="A101" s="2">
        <v>5</v>
      </c>
      <c r="B101" s="85" t="str">
        <f>IF(AND('tables and models'!C45&lt;&gt;"",'tables and models'!D45&lt;&gt;""),'tables and models'!C45,"")</f>
        <v/>
      </c>
      <c r="C101" s="76"/>
      <c r="D101" s="76"/>
      <c r="E101" s="76"/>
      <c r="F101" s="76"/>
      <c r="G101" s="2">
        <v>15</v>
      </c>
      <c r="H101" s="85" t="str">
        <f>IF(AND('tables and models'!G45&lt;&gt;"",'tables and models'!H45&lt;&gt;""),'tables and models'!G45,"")</f>
        <v/>
      </c>
      <c r="I101" s="76"/>
      <c r="J101" s="76"/>
      <c r="K101" s="76"/>
      <c r="L101" s="76"/>
      <c r="M101" s="86" t="str">
        <f t="shared" si="14"/>
        <v/>
      </c>
      <c r="N101" s="79" t="str">
        <f t="shared" si="15"/>
        <v/>
      </c>
      <c r="O101" s="8" t="str">
        <f t="shared" si="16"/>
        <v/>
      </c>
      <c r="P101" s="82" t="str">
        <f t="shared" si="24"/>
        <v>originated_from:originated_from,directed_to:directed_to,descr:descr</v>
      </c>
      <c r="S101" s="86" t="str">
        <f t="shared" si="17"/>
        <v/>
      </c>
      <c r="T101" s="79" t="str">
        <f t="shared" si="18"/>
        <v/>
      </c>
      <c r="U101" s="8" t="str">
        <f t="shared" si="19"/>
        <v/>
      </c>
      <c r="V101" s="82" t="str">
        <f t="shared" si="25"/>
        <v/>
      </c>
      <c r="X101" s="88" t="str">
        <f>IF(AND(B101&lt;&gt;"",E101=1),"var "&amp;B101&amp;"=$('#input_"&amp;'tables and models'!$F$39&amp;B101&amp;"'+id).val();","")</f>
        <v/>
      </c>
      <c r="AD101" s="88" t="str">
        <f>IF(AND(H101&lt;&gt;"",K101=1),"var "&amp;H101&amp;"=$('#input_"&amp;'tables and models'!$F$39&amp;H101&amp;"'+id).val();","")</f>
        <v/>
      </c>
      <c r="AF101" s="79" t="str">
        <f t="shared" si="20"/>
        <v/>
      </c>
      <c r="AG101" s="82" t="str">
        <f t="shared" si="21"/>
        <v>'originated_from'=&gt;$_POST['originated_from'],'directed_to'=&gt;$_POST['directed_to'],'descr'=&gt;$_POST['descr']</v>
      </c>
      <c r="AL101" s="79" t="str">
        <f t="shared" si="22"/>
        <v/>
      </c>
      <c r="AM101" s="82" t="str">
        <f t="shared" si="23"/>
        <v/>
      </c>
    </row>
    <row r="102" spans="1:39" x14ac:dyDescent="0.25">
      <c r="A102" s="2">
        <v>6</v>
      </c>
      <c r="B102" s="85" t="str">
        <f>IF(AND('tables and models'!C46&lt;&gt;"",'tables and models'!D46&lt;&gt;""),'tables and models'!C46,"")</f>
        <v/>
      </c>
      <c r="C102" s="76"/>
      <c r="D102" s="76"/>
      <c r="E102" s="76"/>
      <c r="F102" s="76"/>
      <c r="G102" s="2">
        <v>16</v>
      </c>
      <c r="H102" s="85" t="str">
        <f>IF(AND('tables and models'!G46&lt;&gt;"",'tables and models'!H46&lt;&gt;""),'tables and models'!G46,"")</f>
        <v/>
      </c>
      <c r="I102" s="76"/>
      <c r="J102" s="76"/>
      <c r="K102" s="76"/>
      <c r="L102" s="76"/>
      <c r="M102" s="86" t="str">
        <f t="shared" si="14"/>
        <v/>
      </c>
      <c r="N102" s="79" t="str">
        <f t="shared" si="15"/>
        <v/>
      </c>
      <c r="O102" s="8" t="str">
        <f t="shared" si="16"/>
        <v/>
      </c>
      <c r="P102" s="82" t="str">
        <f t="shared" si="24"/>
        <v>originated_from:originated_from,directed_to:directed_to,descr:descr</v>
      </c>
      <c r="S102" s="86" t="str">
        <f t="shared" si="17"/>
        <v/>
      </c>
      <c r="T102" s="79" t="str">
        <f t="shared" si="18"/>
        <v/>
      </c>
      <c r="U102" s="8" t="str">
        <f t="shared" si="19"/>
        <v/>
      </c>
      <c r="V102" s="82" t="str">
        <f t="shared" si="25"/>
        <v/>
      </c>
      <c r="X102" s="88" t="str">
        <f>IF(AND(B102&lt;&gt;"",E102=1),"var "&amp;B102&amp;"=$('#input_"&amp;'tables and models'!$F$39&amp;B102&amp;"'+id).val();","")</f>
        <v/>
      </c>
      <c r="AD102" s="88" t="str">
        <f>IF(AND(H102&lt;&gt;"",K102=1),"var "&amp;H102&amp;"=$('#input_"&amp;'tables and models'!$F$39&amp;H102&amp;"'+id).val();","")</f>
        <v/>
      </c>
      <c r="AF102" s="79" t="str">
        <f t="shared" si="20"/>
        <v/>
      </c>
      <c r="AG102" s="82" t="str">
        <f t="shared" si="21"/>
        <v>'originated_from'=&gt;$_POST['originated_from'],'directed_to'=&gt;$_POST['directed_to'],'descr'=&gt;$_POST['descr']</v>
      </c>
      <c r="AL102" s="79" t="str">
        <f t="shared" si="22"/>
        <v/>
      </c>
      <c r="AM102" s="82" t="str">
        <f t="shared" si="23"/>
        <v/>
      </c>
    </row>
    <row r="103" spans="1:39" x14ac:dyDescent="0.25">
      <c r="A103" s="2">
        <v>7</v>
      </c>
      <c r="B103" s="85" t="str">
        <f>IF(AND('tables and models'!C47&lt;&gt;"",'tables and models'!D47&lt;&gt;""),'tables and models'!C47,"")</f>
        <v/>
      </c>
      <c r="C103" s="76"/>
      <c r="D103" s="76"/>
      <c r="E103" s="76"/>
      <c r="F103" s="76"/>
      <c r="G103" s="2">
        <v>17</v>
      </c>
      <c r="H103" s="85" t="str">
        <f>IF(AND('tables and models'!G47&lt;&gt;"",'tables and models'!H47&lt;&gt;""),'tables and models'!G47,"")</f>
        <v/>
      </c>
      <c r="I103" s="76"/>
      <c r="J103" s="76"/>
      <c r="K103" s="76"/>
      <c r="L103" s="76"/>
      <c r="M103" s="86" t="str">
        <f t="shared" si="14"/>
        <v/>
      </c>
      <c r="N103" s="79" t="str">
        <f t="shared" si="15"/>
        <v/>
      </c>
      <c r="O103" s="8" t="str">
        <f t="shared" si="16"/>
        <v/>
      </c>
      <c r="P103" s="82" t="str">
        <f t="shared" si="24"/>
        <v>originated_from:originated_from,directed_to:directed_to,descr:descr</v>
      </c>
      <c r="S103" s="86" t="str">
        <f t="shared" si="17"/>
        <v/>
      </c>
      <c r="T103" s="79" t="str">
        <f t="shared" si="18"/>
        <v/>
      </c>
      <c r="U103" s="8" t="str">
        <f t="shared" si="19"/>
        <v/>
      </c>
      <c r="V103" s="82" t="str">
        <f t="shared" si="25"/>
        <v/>
      </c>
      <c r="X103" s="88" t="str">
        <f>IF(AND(B103&lt;&gt;"",E103=1),"var "&amp;B103&amp;"=$('#input_"&amp;'tables and models'!$F$39&amp;B103&amp;"'+id).val();","")</f>
        <v/>
      </c>
      <c r="AD103" s="88" t="str">
        <f>IF(AND(H103&lt;&gt;"",K103=1),"var "&amp;H103&amp;"=$('#input_"&amp;'tables and models'!$F$39&amp;H103&amp;"'+id).val();","")</f>
        <v/>
      </c>
      <c r="AF103" s="79" t="str">
        <f t="shared" si="20"/>
        <v/>
      </c>
      <c r="AG103" s="82" t="str">
        <f t="shared" si="21"/>
        <v>'originated_from'=&gt;$_POST['originated_from'],'directed_to'=&gt;$_POST['directed_to'],'descr'=&gt;$_POST['descr']</v>
      </c>
      <c r="AL103" s="79" t="str">
        <f t="shared" si="22"/>
        <v/>
      </c>
      <c r="AM103" s="82" t="str">
        <f t="shared" si="23"/>
        <v/>
      </c>
    </row>
    <row r="104" spans="1:39" x14ac:dyDescent="0.25">
      <c r="A104" s="2">
        <v>8</v>
      </c>
      <c r="B104" s="85" t="str">
        <f>IF(AND('tables and models'!C48&lt;&gt;"",'tables and models'!D48&lt;&gt;""),'tables and models'!C48,"")</f>
        <v/>
      </c>
      <c r="C104" s="76"/>
      <c r="D104" s="76"/>
      <c r="E104" s="76"/>
      <c r="F104" s="76"/>
      <c r="G104" s="2">
        <v>18</v>
      </c>
      <c r="H104" s="85" t="str">
        <f>IF(AND('tables and models'!G48&lt;&gt;"",'tables and models'!H48&lt;&gt;""),'tables and models'!G48,"")</f>
        <v/>
      </c>
      <c r="I104" s="76"/>
      <c r="J104" s="76"/>
      <c r="K104" s="76"/>
      <c r="L104" s="76"/>
      <c r="M104" s="86" t="str">
        <f t="shared" si="14"/>
        <v/>
      </c>
      <c r="N104" s="79" t="str">
        <f t="shared" si="15"/>
        <v/>
      </c>
      <c r="O104" s="8" t="str">
        <f t="shared" si="16"/>
        <v/>
      </c>
      <c r="P104" s="82" t="str">
        <f t="shared" si="24"/>
        <v>originated_from:originated_from,directed_to:directed_to,descr:descr</v>
      </c>
      <c r="S104" s="86" t="str">
        <f t="shared" si="17"/>
        <v/>
      </c>
      <c r="T104" s="79" t="str">
        <f t="shared" si="18"/>
        <v/>
      </c>
      <c r="U104" s="8" t="str">
        <f t="shared" si="19"/>
        <v/>
      </c>
      <c r="V104" s="82" t="str">
        <f t="shared" si="25"/>
        <v/>
      </c>
      <c r="X104" s="88" t="str">
        <f>IF(AND(B104&lt;&gt;"",E104=1),"var "&amp;B104&amp;"=$('#input_"&amp;'tables and models'!$F$39&amp;B104&amp;"'+id).val();","")</f>
        <v/>
      </c>
      <c r="AD104" s="88" t="str">
        <f>IF(AND(H104&lt;&gt;"",K104=1),"var "&amp;H104&amp;"=$('#input_"&amp;'tables and models'!$F$39&amp;H104&amp;"'+id).val();","")</f>
        <v/>
      </c>
      <c r="AF104" s="79" t="str">
        <f t="shared" si="20"/>
        <v/>
      </c>
      <c r="AG104" s="82" t="str">
        <f t="shared" si="21"/>
        <v>'originated_from'=&gt;$_POST['originated_from'],'directed_to'=&gt;$_POST['directed_to'],'descr'=&gt;$_POST['descr']</v>
      </c>
      <c r="AL104" s="79" t="str">
        <f t="shared" si="22"/>
        <v/>
      </c>
      <c r="AM104" s="82" t="str">
        <f t="shared" si="23"/>
        <v/>
      </c>
    </row>
    <row r="105" spans="1:39" x14ac:dyDescent="0.25">
      <c r="A105" s="2">
        <v>9</v>
      </c>
      <c r="B105" s="85" t="str">
        <f>IF(AND('tables and models'!C49&lt;&gt;"",'tables and models'!D49&lt;&gt;""),'tables and models'!C49,"")</f>
        <v/>
      </c>
      <c r="C105" s="76"/>
      <c r="D105" s="76"/>
      <c r="E105" s="76"/>
      <c r="F105" s="76"/>
      <c r="G105" s="2">
        <v>19</v>
      </c>
      <c r="H105" s="85" t="str">
        <f>IF(AND('tables and models'!G49&lt;&gt;"",'tables and models'!H49&lt;&gt;""),'tables and models'!G49,"")</f>
        <v/>
      </c>
      <c r="I105" s="76"/>
      <c r="J105" s="76"/>
      <c r="K105" s="76"/>
      <c r="L105" s="76"/>
      <c r="M105" s="86" t="str">
        <f t="shared" si="14"/>
        <v/>
      </c>
      <c r="N105" s="79" t="str">
        <f t="shared" si="15"/>
        <v/>
      </c>
      <c r="O105" s="8" t="str">
        <f t="shared" si="16"/>
        <v/>
      </c>
      <c r="P105" s="82" t="str">
        <f t="shared" si="24"/>
        <v>originated_from:originated_from,directed_to:directed_to,descr:descr</v>
      </c>
      <c r="S105" s="86" t="str">
        <f t="shared" si="17"/>
        <v/>
      </c>
      <c r="T105" s="79" t="str">
        <f t="shared" si="18"/>
        <v/>
      </c>
      <c r="U105" s="8" t="str">
        <f t="shared" si="19"/>
        <v/>
      </c>
      <c r="V105" s="82" t="str">
        <f t="shared" si="25"/>
        <v/>
      </c>
      <c r="X105" s="88" t="str">
        <f>IF(AND(B105&lt;&gt;"",E105=1),"var "&amp;B105&amp;"=$('#input_"&amp;'tables and models'!$F$39&amp;B105&amp;"'+id).val();","")</f>
        <v/>
      </c>
      <c r="AD105" s="88" t="str">
        <f>IF(AND(H105&lt;&gt;"",K105=1),"var "&amp;H105&amp;"=$('#input_"&amp;'tables and models'!$F$39&amp;H105&amp;"'+id).val();","")</f>
        <v/>
      </c>
      <c r="AF105" s="79" t="str">
        <f t="shared" si="20"/>
        <v/>
      </c>
      <c r="AG105" s="82" t="str">
        <f t="shared" si="21"/>
        <v>'originated_from'=&gt;$_POST['originated_from'],'directed_to'=&gt;$_POST['directed_to'],'descr'=&gt;$_POST['descr']</v>
      </c>
      <c r="AL105" s="79" t="str">
        <f t="shared" si="22"/>
        <v/>
      </c>
      <c r="AM105" s="82" t="str">
        <f t="shared" si="23"/>
        <v/>
      </c>
    </row>
    <row r="106" spans="1:39" x14ac:dyDescent="0.25">
      <c r="A106" s="2">
        <v>10</v>
      </c>
      <c r="B106" s="85" t="str">
        <f>IF(AND('tables and models'!C50&lt;&gt;"",'tables and models'!D50&lt;&gt;""),'tables and models'!C50,"")</f>
        <v/>
      </c>
      <c r="C106" s="76"/>
      <c r="D106" s="76"/>
      <c r="E106" s="76"/>
      <c r="F106" s="76"/>
      <c r="G106" s="2">
        <v>20</v>
      </c>
      <c r="H106" s="85" t="str">
        <f>IF(AND('tables and models'!G50&lt;&gt;"",'tables and models'!H50&lt;&gt;""),'tables and models'!G50,"")</f>
        <v/>
      </c>
      <c r="I106" s="76"/>
      <c r="J106" s="76"/>
      <c r="K106" s="76"/>
      <c r="L106" s="76"/>
      <c r="M106" s="86" t="str">
        <f t="shared" si="14"/>
        <v/>
      </c>
      <c r="N106" s="79" t="str">
        <f t="shared" si="15"/>
        <v/>
      </c>
      <c r="O106" s="8" t="str">
        <f t="shared" si="16"/>
        <v/>
      </c>
      <c r="P106" s="82" t="str">
        <f t="shared" si="24"/>
        <v>originated_from:originated_from,directed_to:directed_to,descr:descr</v>
      </c>
      <c r="S106" s="86" t="str">
        <f t="shared" si="17"/>
        <v/>
      </c>
      <c r="T106" s="79" t="str">
        <f t="shared" si="18"/>
        <v/>
      </c>
      <c r="U106" s="8" t="str">
        <f t="shared" si="19"/>
        <v/>
      </c>
      <c r="V106" s="82" t="str">
        <f t="shared" si="25"/>
        <v/>
      </c>
      <c r="X106" s="88" t="str">
        <f>IF(AND(B106&lt;&gt;"",E106=1),"var "&amp;B106&amp;"=$('#input_"&amp;'tables and models'!$F$39&amp;B106&amp;"'+id).val();","")</f>
        <v/>
      </c>
      <c r="AD106" s="88" t="str">
        <f>IF(AND(H106&lt;&gt;"",K106=1),"var "&amp;H106&amp;"=$('#input_"&amp;'tables and models'!$F$39&amp;H106&amp;"'+id).val();","")</f>
        <v/>
      </c>
      <c r="AF106" s="79" t="str">
        <f t="shared" si="20"/>
        <v/>
      </c>
      <c r="AG106" s="82" t="str">
        <f t="shared" si="21"/>
        <v>'originated_from'=&gt;$_POST['originated_from'],'directed_to'=&gt;$_POST['directed_to'],'descr'=&gt;$_POST['descr']</v>
      </c>
      <c r="AL106" s="79" t="str">
        <f t="shared" si="22"/>
        <v/>
      </c>
      <c r="AM106" s="82" t="str">
        <f t="shared" si="23"/>
        <v/>
      </c>
    </row>
    <row r="107" spans="1:39" x14ac:dyDescent="0.25">
      <c r="P107" s="2" t="str">
        <f>P106&amp;V106</f>
        <v>originated_from:originated_from,directed_to:directed_to,descr:descr</v>
      </c>
      <c r="AG107" s="2" t="str">
        <f>AG106&amp;AM106</f>
        <v>'originated_from'=&gt;$_POST['originated_from'],'directed_to'=&gt;$_POST['directed_to'],'descr'=&gt;$_POST['descr']</v>
      </c>
    </row>
    <row r="109" spans="1:39" x14ac:dyDescent="0.25">
      <c r="B109" s="2" t="s">
        <v>424</v>
      </c>
    </row>
    <row r="110" spans="1:39" x14ac:dyDescent="0.25">
      <c r="B110" s="2" t="s">
        <v>425</v>
      </c>
    </row>
    <row r="111" spans="1:39" x14ac:dyDescent="0.25">
      <c r="B111" s="13" t="s">
        <v>99</v>
      </c>
      <c r="C111" s="13"/>
      <c r="D111" s="13"/>
      <c r="E111" s="13"/>
      <c r="F111" s="13"/>
      <c r="G111" s="13"/>
      <c r="H111" s="13"/>
      <c r="I111" s="13"/>
      <c r="J111" s="13"/>
    </row>
    <row r="112" spans="1:39" x14ac:dyDescent="0.25">
      <c r="B112" s="13" t="s">
        <v>426</v>
      </c>
      <c r="C112" s="13"/>
      <c r="D112" s="13"/>
      <c r="E112" s="13"/>
      <c r="F112" s="13"/>
      <c r="G112" s="13"/>
      <c r="H112" s="13"/>
      <c r="I112" s="13"/>
      <c r="J112" s="13"/>
    </row>
    <row r="113" spans="1:10" x14ac:dyDescent="0.25">
      <c r="A113" s="2" t="s">
        <v>374</v>
      </c>
      <c r="B113" s="71" t="str">
        <f>"    "&amp;N97&amp;N98&amp;N99</f>
        <v xml:space="preserve">    array('originated_from','Name','1','1','1'),array('directed_to','Amount','1','1','1'),array('descr','Description','1','1','1')</v>
      </c>
      <c r="C113" s="13"/>
      <c r="D113" s="13"/>
      <c r="E113" s="13"/>
      <c r="F113" s="13"/>
      <c r="G113" s="13"/>
      <c r="H113" s="13"/>
      <c r="I113" s="13"/>
      <c r="J113" s="13"/>
    </row>
    <row r="114" spans="1:10" x14ac:dyDescent="0.25">
      <c r="A114" s="2" t="s">
        <v>375</v>
      </c>
      <c r="B114" s="71" t="str">
        <f>"    "&amp;N100&amp;N101&amp;N102</f>
        <v xml:space="preserve">    ,array('thetask_id','','','','')</v>
      </c>
      <c r="C114" s="13"/>
      <c r="D114" s="13"/>
      <c r="E114" s="13"/>
      <c r="F114" s="13"/>
      <c r="G114" s="13"/>
      <c r="H114" s="13"/>
      <c r="I114" s="13"/>
      <c r="J114" s="13"/>
    </row>
    <row r="115" spans="1:10" x14ac:dyDescent="0.25">
      <c r="A115" s="2" t="s">
        <v>376</v>
      </c>
      <c r="B115" s="71" t="str">
        <f>"    "&amp;N103&amp;N104&amp;N105&amp;N106</f>
        <v xml:space="preserve">    </v>
      </c>
      <c r="C115" s="13"/>
      <c r="D115" s="13"/>
      <c r="E115" s="13"/>
      <c r="F115" s="13"/>
      <c r="G115" s="13"/>
      <c r="H115" s="13"/>
      <c r="I115" s="13"/>
      <c r="J115" s="13"/>
    </row>
    <row r="116" spans="1:10" x14ac:dyDescent="0.25">
      <c r="A116" s="2" t="s">
        <v>377</v>
      </c>
      <c r="B116" s="71" t="str">
        <f>"    "&amp;T97&amp;T98&amp;T99</f>
        <v xml:space="preserve">    </v>
      </c>
      <c r="C116" s="13"/>
      <c r="D116" s="13"/>
      <c r="E116" s="13"/>
      <c r="F116" s="13"/>
      <c r="G116" s="13"/>
      <c r="H116" s="13"/>
      <c r="I116" s="13"/>
      <c r="J116" s="13"/>
    </row>
    <row r="117" spans="1:10" x14ac:dyDescent="0.25">
      <c r="A117" s="2" t="s">
        <v>378</v>
      </c>
      <c r="B117" s="71" t="str">
        <f>"    "&amp;T100&amp;T101&amp;T102</f>
        <v xml:space="preserve">    </v>
      </c>
      <c r="C117" s="13"/>
      <c r="D117" s="13"/>
      <c r="E117" s="13"/>
      <c r="F117" s="13"/>
      <c r="G117" s="13"/>
      <c r="H117" s="13"/>
      <c r="I117" s="13"/>
      <c r="J117" s="13"/>
    </row>
    <row r="118" spans="1:10" x14ac:dyDescent="0.25">
      <c r="A118" s="2" t="s">
        <v>379</v>
      </c>
      <c r="B118" s="71" t="str">
        <f>"    "&amp;T103&amp;T104&amp;T105&amp;T106</f>
        <v xml:space="preserve">    </v>
      </c>
      <c r="C118" s="13"/>
      <c r="D118" s="13"/>
      <c r="E118" s="13"/>
      <c r="F118" s="13"/>
      <c r="G118" s="13"/>
      <c r="H118" s="13"/>
      <c r="I118" s="13"/>
      <c r="J118" s="13"/>
    </row>
    <row r="119" spans="1:10" x14ac:dyDescent="0.25">
      <c r="B119" s="13" t="s">
        <v>153</v>
      </c>
      <c r="C119" s="13"/>
      <c r="D119" s="13"/>
      <c r="E119" s="13"/>
      <c r="F119" s="13"/>
      <c r="G119" s="13"/>
      <c r="H119" s="13"/>
      <c r="I119" s="13"/>
      <c r="J119" s="13"/>
    </row>
    <row r="120" spans="1:10" x14ac:dyDescent="0.25">
      <c r="B120" s="13" t="s">
        <v>106</v>
      </c>
      <c r="C120" s="13"/>
      <c r="D120" s="13"/>
      <c r="E120" s="13"/>
      <c r="F120" s="13"/>
      <c r="G120" s="13"/>
      <c r="H120" s="13"/>
      <c r="I120" s="13"/>
      <c r="J120" s="13"/>
    </row>
    <row r="123" spans="1:10" x14ac:dyDescent="0.25">
      <c r="C123" s="2" t="s">
        <v>456</v>
      </c>
    </row>
    <row r="124" spans="1:10" x14ac:dyDescent="0.25">
      <c r="B124" s="13" t="str">
        <f>"@foreach("&amp;'tables and models'!G39&amp;"::all() as $m) {{--m first letter of model word--}}"</f>
        <v>@foreach(Taskdiscussion::all() as $m) {{--m first letter of model word--}}</v>
      </c>
      <c r="C124" s="13"/>
      <c r="D124" s="13"/>
      <c r="E124" s="13"/>
      <c r="F124" s="13"/>
      <c r="G124" s="13"/>
      <c r="H124" s="13"/>
      <c r="I124" s="13"/>
      <c r="J124" s="13"/>
    </row>
    <row r="125" spans="1:10" x14ac:dyDescent="0.25">
      <c r="B125" s="13" t="s">
        <v>431</v>
      </c>
      <c r="C125" s="13"/>
      <c r="D125" s="13"/>
      <c r="E125" s="13"/>
      <c r="F125" s="13"/>
      <c r="G125" s="13"/>
      <c r="H125" s="13"/>
      <c r="I125" s="13"/>
      <c r="J125" s="13"/>
    </row>
    <row r="126" spans="1:10" x14ac:dyDescent="0.25">
      <c r="B126" s="13" t="str">
        <f>"    &lt;div id='"&amp;'tables and models'!F39&amp;"_row{{$m-&gt;id}}' class='"&amp;'tables and models'!F39&amp;"_row'&gt;"</f>
        <v xml:space="preserve">    &lt;div id='taskdiscussion_row{{$m-&gt;id}}' class='taskdiscussion_row'&gt;</v>
      </c>
      <c r="C126" s="13"/>
      <c r="D126" s="13"/>
      <c r="E126" s="13"/>
      <c r="F126" s="13"/>
      <c r="G126" s="13"/>
      <c r="H126" s="13"/>
      <c r="I126" s="13"/>
      <c r="J126" s="13"/>
    </row>
    <row r="127" spans="1:10" x14ac:dyDescent="0.25">
      <c r="B127" s="13" t="str">
        <f>"    @foreach($read as $r)"</f>
        <v xml:space="preserve">    @foreach($read as $r)</v>
      </c>
      <c r="C127" s="13"/>
      <c r="D127" s="13"/>
      <c r="E127" s="13"/>
      <c r="F127" s="13"/>
      <c r="G127" s="13"/>
      <c r="H127" s="13"/>
      <c r="I127" s="13"/>
      <c r="J127" s="13"/>
    </row>
    <row r="128" spans="1:10" x14ac:dyDescent="0.25">
      <c r="B128" s="71" t="str">
        <f>"        &lt;?php $class='';$m_id=''; if($r[3]==1){$class='"&amp;'tables and models'!F39&amp;"_editable'.$m-&gt;id;$m_id='"&amp;'tables and models'!F39&amp;"_'.$r[0].'_row'.$m-&gt;id;}   ?&gt;"</f>
        <v xml:space="preserve">        &lt;?php $class='';$m_id=''; if($r[3]==1){$class='taskdiscussion_editable'.$m-&gt;id;$m_id='taskdiscussion_'.$r[0].'_row'.$m-&gt;id;}   ?&gt;</v>
      </c>
      <c r="C128" s="13"/>
      <c r="D128" s="13"/>
      <c r="E128" s="13"/>
      <c r="F128" s="13"/>
      <c r="G128" s="13"/>
      <c r="H128" s="13"/>
      <c r="I128" s="13"/>
      <c r="J128" s="13"/>
    </row>
    <row r="129" spans="2:10" x14ac:dyDescent="0.25">
      <c r="B129" s="71"/>
      <c r="C129" s="13"/>
      <c r="D129" s="13"/>
      <c r="E129" s="13"/>
      <c r="F129" s="13"/>
      <c r="G129" s="13"/>
      <c r="H129" s="13"/>
      <c r="I129" s="13"/>
      <c r="J129" s="13"/>
    </row>
    <row r="130" spans="2:10" x14ac:dyDescent="0.25">
      <c r="B130" s="13" t="s">
        <v>438</v>
      </c>
      <c r="C130" s="13"/>
      <c r="D130" s="13"/>
      <c r="E130" s="13"/>
      <c r="F130" s="13"/>
      <c r="G130" s="13"/>
      <c r="H130" s="13"/>
      <c r="I130" s="13"/>
      <c r="J130" s="13"/>
    </row>
    <row r="131" spans="2:10" x14ac:dyDescent="0.25">
      <c r="B131" s="13" t="str">
        <f>"        @if($r[3]==1)"</f>
        <v xml:space="preserve">        @if($r[3]==1)</v>
      </c>
      <c r="C131" s="13"/>
      <c r="D131" s="13"/>
      <c r="E131" s="13"/>
      <c r="F131" s="13"/>
      <c r="G131" s="13"/>
      <c r="H131" s="13"/>
      <c r="I131" s="13"/>
      <c r="J131" s="13"/>
    </row>
    <row r="132" spans="2:10" x14ac:dyDescent="0.25">
      <c r="B132" s="13" t="str">
        <f>"            &lt;spam class='hmdhide "&amp;'tables and models'!F39&amp;"_inputhidden{{$m-&gt;id}}'&gt;"</f>
        <v xml:space="preserve">            &lt;spam class='hmdhide taskdiscussion_inputhidden{{$m-&gt;id}}'&gt;</v>
      </c>
      <c r="C132" s="13"/>
      <c r="D132" s="13"/>
      <c r="E132" s="13"/>
      <c r="F132" s="13"/>
      <c r="G132" s="13"/>
      <c r="H132" s="13"/>
      <c r="I132" s="13"/>
      <c r="J132" s="13"/>
    </row>
    <row r="133" spans="2:10" x14ac:dyDescent="0.25">
      <c r="B133" s="13" t="str">
        <f>"            @if($r[4]==1)"</f>
        <v xml:space="preserve">            @if($r[4]==1)</v>
      </c>
      <c r="C133" s="13"/>
      <c r="D133" s="13"/>
      <c r="E133" s="13"/>
      <c r="F133" s="13"/>
      <c r="G133" s="13"/>
      <c r="H133" s="13"/>
      <c r="I133" s="13"/>
      <c r="J133" s="13"/>
    </row>
    <row r="134" spans="2:10" x14ac:dyDescent="0.25">
      <c r="B134" s="13" t="str">
        <f>"                &lt;input type='text' value='{{$m-&gt;$r[0]}}' id='input_"&amp;'tables and models'!F39&amp;"{{$r[0].$m-&gt;id}}'&gt;"</f>
        <v xml:space="preserve">                &lt;input type='text' value='{{$m-&gt;$r[0]}}' id='input_taskdiscussion{{$r[0].$m-&gt;id}}'&gt;</v>
      </c>
      <c r="C134" s="13"/>
      <c r="D134" s="13"/>
      <c r="E134" s="13"/>
      <c r="F134" s="13"/>
      <c r="G134" s="13"/>
      <c r="H134" s="13"/>
      <c r="I134" s="13"/>
      <c r="J134" s="13"/>
    </row>
    <row r="135" spans="2:10" x14ac:dyDescent="0.25">
      <c r="B135" s="13" t="str">
        <f>"            @elseif($r[4]==2)"</f>
        <v xml:space="preserve">            @elseif($r[4]==2)</v>
      </c>
      <c r="C135" s="13"/>
      <c r="D135" s="13"/>
      <c r="E135" s="13"/>
      <c r="F135" s="13"/>
      <c r="G135" s="13"/>
      <c r="H135" s="13"/>
      <c r="I135" s="13"/>
      <c r="J135" s="13"/>
    </row>
    <row r="136" spans="2:10" x14ac:dyDescent="0.25">
      <c r="B136" s="13" t="s">
        <v>446</v>
      </c>
      <c r="C136" s="13"/>
      <c r="D136" s="13"/>
      <c r="E136" s="13"/>
      <c r="F136" s="13"/>
      <c r="G136" s="13"/>
      <c r="H136" s="13"/>
      <c r="I136" s="13"/>
      <c r="J136" s="13"/>
    </row>
    <row r="137" spans="2:10" x14ac:dyDescent="0.25">
      <c r="B137" s="13" t="str">
        <f>"            @endif"</f>
        <v xml:space="preserve">            @endif</v>
      </c>
      <c r="C137" s="13"/>
      <c r="D137" s="13"/>
      <c r="E137" s="13"/>
      <c r="F137" s="13"/>
      <c r="G137" s="13"/>
      <c r="H137" s="13"/>
      <c r="I137" s="13"/>
      <c r="J137" s="13"/>
    </row>
    <row r="138" spans="2:10" x14ac:dyDescent="0.25">
      <c r="B138" s="13" t="s">
        <v>439</v>
      </c>
      <c r="C138" s="13"/>
      <c r="D138" s="13"/>
      <c r="E138" s="13"/>
      <c r="F138" s="13"/>
      <c r="G138" s="13"/>
      <c r="H138" s="13"/>
      <c r="I138" s="13"/>
      <c r="J138" s="13"/>
    </row>
    <row r="139" spans="2:10" x14ac:dyDescent="0.25">
      <c r="B139" s="13" t="str">
        <f>"        @endif"</f>
        <v xml:space="preserve">        @endif</v>
      </c>
      <c r="C139" s="13"/>
      <c r="D139" s="13"/>
      <c r="E139" s="13"/>
      <c r="F139" s="13"/>
      <c r="G139" s="13"/>
      <c r="H139" s="13"/>
      <c r="I139" s="13"/>
      <c r="J139" s="13"/>
    </row>
    <row r="140" spans="2:10" x14ac:dyDescent="0.25">
      <c r="B140" s="72" t="s">
        <v>432</v>
      </c>
      <c r="C140" s="13"/>
      <c r="D140" s="13"/>
      <c r="E140" s="13"/>
      <c r="F140" s="13"/>
      <c r="G140" s="13"/>
      <c r="H140" s="13"/>
      <c r="I140" s="13"/>
      <c r="J140" s="13"/>
    </row>
    <row r="141" spans="2:10" x14ac:dyDescent="0.25">
      <c r="B141" s="13" t="str">
        <f>"        &lt;spam&gt;&lt;button class='btn' id='edit_"&amp;'tables and models'!F39&amp;"{{$m-&gt;id}}'&gt;Edit&lt;/button&gt;&lt;/spam&gt;"</f>
        <v xml:space="preserve">        &lt;spam&gt;&lt;button class='btn' id='edit_taskdiscussion{{$m-&gt;id}}'&gt;Edit&lt;/button&gt;&lt;/spam&gt;</v>
      </c>
      <c r="C141" s="13"/>
      <c r="D141" s="13"/>
      <c r="E141" s="13"/>
      <c r="F141" s="13"/>
      <c r="G141" s="13"/>
      <c r="H141" s="13"/>
      <c r="I141" s="13"/>
      <c r="J141" s="13"/>
    </row>
    <row r="142" spans="2:10" x14ac:dyDescent="0.25">
      <c r="B142" s="13" t="str">
        <f>"        &lt;spam class='"&amp;'tables and models'!F39&amp;"_inputhidden{{$m-&gt;id}} hmdhide'&gt;"</f>
        <v xml:space="preserve">        &lt;spam class='taskdiscussion_inputhidden{{$m-&gt;id}} hmdhide'&gt;</v>
      </c>
      <c r="C142" s="13"/>
      <c r="D142" s="13"/>
      <c r="E142" s="13"/>
      <c r="F142" s="13"/>
      <c r="G142" s="13"/>
      <c r="H142" s="13"/>
      <c r="I142" s="13"/>
      <c r="J142" s="13"/>
    </row>
    <row r="143" spans="2:10" x14ac:dyDescent="0.25">
      <c r="B143" s="13" t="str">
        <f>"            &lt;button class='btn' id='canceledit_"&amp;'tables and models'!F39&amp;"{{$m-&gt;id}}'&gt;Cancel&lt;/button&gt;"</f>
        <v xml:space="preserve">            &lt;button class='btn' id='canceledit_taskdiscussion{{$m-&gt;id}}'&gt;Cancel&lt;/button&gt;</v>
      </c>
      <c r="C143" s="13"/>
      <c r="D143" s="13"/>
      <c r="E143" s="13"/>
      <c r="F143" s="13"/>
      <c r="G143" s="13"/>
      <c r="H143" s="13"/>
      <c r="I143" s="13"/>
      <c r="J143" s="13"/>
    </row>
    <row r="144" spans="2:10" x14ac:dyDescent="0.25">
      <c r="B144" s="13" t="str">
        <f>"            &lt;button class='btn' id='confirmedit_"&amp;'tables and models'!F39&amp;"{{$m-&gt;id}}'&gt;Update&lt;/button&gt;"</f>
        <v xml:space="preserve">            &lt;button class='btn' id='confirmedit_taskdiscussion{{$m-&gt;id}}'&gt;Update&lt;/button&gt;</v>
      </c>
      <c r="C144" s="13"/>
      <c r="D144" s="13"/>
      <c r="E144" s="13"/>
      <c r="F144" s="13"/>
      <c r="G144" s="13"/>
      <c r="H144" s="13"/>
      <c r="I144" s="13"/>
      <c r="J144" s="13"/>
    </row>
    <row r="145" spans="2:10" x14ac:dyDescent="0.25">
      <c r="B145" s="13" t="s">
        <v>444</v>
      </c>
      <c r="C145" s="13"/>
      <c r="D145" s="13"/>
      <c r="E145" s="13"/>
      <c r="F145" s="13"/>
      <c r="G145" s="13"/>
      <c r="H145" s="13"/>
      <c r="I145" s="13"/>
      <c r="J145" s="13"/>
    </row>
    <row r="146" spans="2:10" x14ac:dyDescent="0.25">
      <c r="B146" s="13" t="str">
        <f>"        &lt;spam&gt;&lt;button class='btn' id='delete_"&amp;'tables and models'!F39&amp;"{{$m-&gt;id}}'&gt;Delete&lt;/button&gt;&lt;/spam&gt;"</f>
        <v xml:space="preserve">        &lt;spam&gt;&lt;button class='btn' id='delete_taskdiscussion{{$m-&gt;id}}'&gt;Delete&lt;/button&gt;&lt;/spam&gt;</v>
      </c>
      <c r="C146" s="13"/>
      <c r="D146" s="13"/>
      <c r="E146" s="13"/>
      <c r="F146" s="13"/>
      <c r="G146" s="13"/>
      <c r="H146" s="13"/>
      <c r="I146" s="13"/>
      <c r="J146" s="13"/>
    </row>
    <row r="147" spans="2:10" x14ac:dyDescent="0.25">
      <c r="B147" s="13" t="str">
        <f>"        &lt;spam class='"&amp;'tables and models'!F39&amp;"_deletehidden{{$m-&gt;id}} hmdhide'&gt;"</f>
        <v xml:space="preserve">        &lt;spam class='taskdiscussion_deletehidden{{$m-&gt;id}} hmdhide'&gt;</v>
      </c>
      <c r="C147" s="13"/>
      <c r="D147" s="13"/>
      <c r="E147" s="13"/>
      <c r="F147" s="13"/>
      <c r="G147" s="13"/>
      <c r="H147" s="13"/>
      <c r="I147" s="13"/>
      <c r="J147" s="13"/>
    </row>
    <row r="148" spans="2:10" x14ac:dyDescent="0.25">
      <c r="B148" s="13" t="s">
        <v>457</v>
      </c>
      <c r="C148" s="13"/>
      <c r="D148" s="13"/>
      <c r="E148" s="13"/>
      <c r="F148" s="13"/>
      <c r="G148" s="13"/>
      <c r="H148" s="13"/>
      <c r="I148" s="13"/>
      <c r="J148" s="13"/>
    </row>
    <row r="149" spans="2:10" x14ac:dyDescent="0.25">
      <c r="B149" s="13" t="str">
        <f>"            &lt;a class='' id='canceldelete_"&amp;'tables and models'!F39&amp;"{{$m-&gt;id}}'&gt;Cancel&lt;/a&gt;"</f>
        <v xml:space="preserve">            &lt;a class='' id='canceldelete_taskdiscussion{{$m-&gt;id}}'&gt;Cancel&lt;/a&gt;</v>
      </c>
      <c r="C149" s="13"/>
      <c r="D149" s="13"/>
      <c r="E149" s="13"/>
      <c r="F149" s="13"/>
      <c r="G149" s="13"/>
      <c r="H149" s="13"/>
      <c r="I149" s="13"/>
      <c r="J149" s="13"/>
    </row>
    <row r="150" spans="2:10" x14ac:dyDescent="0.25">
      <c r="B150" s="13" t="str">
        <f>"            &lt;a class='' id='yesdelete_"&amp;'tables and models'!F39&amp;"{{$m-&gt;id}}'&gt;Confirm&lt;/a&gt;"</f>
        <v xml:space="preserve">            &lt;a class='' id='yesdelete_taskdiscussion{{$m-&gt;id}}'&gt;Confirm&lt;/a&gt;</v>
      </c>
      <c r="C150" s="13"/>
      <c r="D150" s="13"/>
      <c r="E150" s="13"/>
      <c r="F150" s="13"/>
      <c r="G150" s="13"/>
      <c r="H150" s="13"/>
      <c r="I150" s="13"/>
      <c r="J150" s="13"/>
    </row>
    <row r="151" spans="2:10" x14ac:dyDescent="0.25">
      <c r="B151" s="13" t="s">
        <v>444</v>
      </c>
      <c r="C151" s="13"/>
      <c r="D151" s="13"/>
      <c r="E151" s="13"/>
      <c r="F151" s="13"/>
      <c r="G151" s="13"/>
      <c r="H151" s="13"/>
      <c r="I151" s="13"/>
      <c r="J151" s="13"/>
    </row>
    <row r="152" spans="2:10" x14ac:dyDescent="0.25">
      <c r="B152" s="13" t="str">
        <f>"        &lt;img class='hmdhide' id='wait_while_updating_"&amp;'tables and models'!F39&amp;"{{$m-&gt;id}}' src='{{URL::to("&amp;P1&amp;"assets/img/progressBar.gif"&amp;P1&amp;")}}'/&gt;"</f>
        <v xml:space="preserve">        &lt;img class='hmdhide' id='wait_while_updating_taskdiscussion{{$m-&gt;id}}' src='{{URL::to("assets/img/progressBar.gif")}}'/&gt;</v>
      </c>
      <c r="C152" s="13"/>
      <c r="D152" s="13"/>
      <c r="E152" s="13"/>
      <c r="F152" s="13"/>
      <c r="G152" s="13"/>
      <c r="H152" s="13"/>
      <c r="I152" s="13"/>
      <c r="J152" s="13"/>
    </row>
    <row r="153" spans="2:10" x14ac:dyDescent="0.25">
      <c r="B153" s="13" t="s">
        <v>163</v>
      </c>
      <c r="C153" s="13"/>
      <c r="D153" s="13"/>
      <c r="E153" s="13"/>
      <c r="F153" s="13"/>
      <c r="G153" s="13"/>
      <c r="H153" s="13"/>
      <c r="I153" s="13"/>
      <c r="J153" s="13"/>
    </row>
    <row r="154" spans="2:10" x14ac:dyDescent="0.25"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2:10" x14ac:dyDescent="0.25">
      <c r="B155" s="72" t="s">
        <v>105</v>
      </c>
      <c r="C155" s="13"/>
      <c r="D155" s="13"/>
      <c r="E155" s="13"/>
      <c r="F155" s="13"/>
      <c r="G155" s="13"/>
      <c r="H155" s="13"/>
      <c r="I155" s="13"/>
      <c r="J155" s="13"/>
    </row>
    <row r="157" spans="2:10" x14ac:dyDescent="0.25">
      <c r="B157" s="2" t="s">
        <v>388</v>
      </c>
    </row>
    <row r="158" spans="2:10" x14ac:dyDescent="0.25">
      <c r="B158" s="13" t="str">
        <f>"$('."&amp;'tables and models'!F39&amp;"_row').each(function(){"</f>
        <v>$('.taskdiscussion_row').each(function(){</v>
      </c>
      <c r="C158" s="13"/>
      <c r="D158" s="13"/>
      <c r="E158" s="13"/>
      <c r="F158" s="13"/>
      <c r="G158" s="13"/>
      <c r="H158" s="13"/>
      <c r="I158" s="13"/>
      <c r="J158" s="13"/>
    </row>
    <row r="159" spans="2:10" x14ac:dyDescent="0.25">
      <c r="B159" s="13" t="s">
        <v>441</v>
      </c>
      <c r="C159" s="13"/>
      <c r="D159" s="13"/>
      <c r="E159" s="13"/>
      <c r="F159" s="13"/>
      <c r="G159" s="13"/>
      <c r="H159" s="13"/>
      <c r="I159" s="13"/>
      <c r="J159" s="13"/>
    </row>
    <row r="160" spans="2:10" x14ac:dyDescent="0.25">
      <c r="B160" s="13" t="str">
        <f>"    id=id.replace('"&amp;'tables and models'!F39&amp;"_row','');"</f>
        <v xml:space="preserve">    id=id.replace('taskdiscussion_row','');</v>
      </c>
      <c r="C160" s="13"/>
      <c r="D160" s="13"/>
      <c r="E160" s="13"/>
      <c r="F160" s="13"/>
      <c r="G160" s="13"/>
      <c r="H160" s="13"/>
      <c r="I160" s="13"/>
      <c r="J160" s="13"/>
    </row>
    <row r="161" spans="2:10" x14ac:dyDescent="0.25">
      <c r="B161" s="13" t="str">
        <f>"    start_action"&amp;'tables and models'!F39&amp;"(id);"</f>
        <v xml:space="preserve">    start_actiontaskdiscussion(id);</v>
      </c>
      <c r="C161" s="13"/>
      <c r="D161" s="13"/>
      <c r="E161" s="13"/>
      <c r="F161" s="13"/>
      <c r="G161" s="13"/>
      <c r="H161" s="13"/>
      <c r="I161" s="13"/>
      <c r="J161" s="13"/>
    </row>
    <row r="162" spans="2:10" x14ac:dyDescent="0.25">
      <c r="B162" s="72" t="s">
        <v>442</v>
      </c>
      <c r="C162" s="13"/>
      <c r="D162" s="13"/>
      <c r="E162" s="13"/>
      <c r="F162" s="13"/>
      <c r="G162" s="13"/>
      <c r="H162" s="13"/>
      <c r="I162" s="13"/>
      <c r="J162" s="13"/>
    </row>
    <row r="163" spans="2:10" x14ac:dyDescent="0.25">
      <c r="B163" s="13" t="s">
        <v>82</v>
      </c>
      <c r="C163" s="13"/>
      <c r="D163" s="13"/>
      <c r="E163" s="13"/>
      <c r="F163" s="13"/>
      <c r="G163" s="13"/>
      <c r="H163" s="13"/>
      <c r="I163" s="13"/>
      <c r="J163" s="13"/>
    </row>
    <row r="164" spans="2:10" x14ac:dyDescent="0.25"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2:10" x14ac:dyDescent="0.25">
      <c r="B165" s="13" t="str">
        <f>"function start_action"&amp;'tables and models'!F39&amp;"(id) {"</f>
        <v>function start_actiontaskdiscussion(id) {</v>
      </c>
      <c r="C165" s="13"/>
      <c r="D165" s="13"/>
      <c r="E165" s="13"/>
      <c r="F165" s="13"/>
      <c r="G165" s="13"/>
      <c r="H165" s="13"/>
      <c r="I165" s="13"/>
      <c r="J165" s="13"/>
    </row>
    <row r="166" spans="2:10" x14ac:dyDescent="0.25">
      <c r="B166" s="13" t="str">
        <f>"    $('#edit_"&amp;'tables and models'!F39&amp;"'+id).click(function(){"</f>
        <v xml:space="preserve">    $('#edit_taskdiscussion'+id).click(function(){</v>
      </c>
      <c r="C166" s="13"/>
      <c r="D166" s="13"/>
      <c r="E166" s="13"/>
      <c r="F166" s="13"/>
      <c r="G166" s="13"/>
      <c r="H166" s="13"/>
      <c r="I166" s="13"/>
      <c r="J166" s="13"/>
    </row>
    <row r="167" spans="2:10" x14ac:dyDescent="0.25">
      <c r="B167" s="13" t="s">
        <v>443</v>
      </c>
      <c r="C167" s="13"/>
      <c r="D167" s="13"/>
      <c r="E167" s="13"/>
      <c r="F167" s="13"/>
      <c r="G167" s="13"/>
      <c r="H167" s="13"/>
      <c r="I167" s="13"/>
      <c r="J167" s="13"/>
    </row>
    <row r="168" spans="2:10" x14ac:dyDescent="0.25">
      <c r="B168" s="13" t="str">
        <f>"        $('."&amp;'tables and models'!F39&amp;"_editable'+id).hide();"</f>
        <v xml:space="preserve">        $('.taskdiscussion_editable'+id).hide();</v>
      </c>
      <c r="C168" s="13"/>
      <c r="D168" s="13"/>
      <c r="E168" s="13"/>
      <c r="F168" s="13"/>
      <c r="G168" s="13"/>
      <c r="H168" s="13"/>
      <c r="I168" s="13"/>
      <c r="J168" s="13"/>
    </row>
    <row r="169" spans="2:10" x14ac:dyDescent="0.25">
      <c r="B169" s="13" t="str">
        <f>"        $('."&amp;'tables and models'!F39&amp;"_inputhidden'+id).show();"</f>
        <v xml:space="preserve">        $('.taskdiscussion_inputhidden'+id).show();</v>
      </c>
      <c r="C169" s="13"/>
      <c r="D169" s="13"/>
      <c r="E169" s="13"/>
      <c r="F169" s="13"/>
      <c r="G169" s="13"/>
      <c r="H169" s="13"/>
      <c r="I169" s="13"/>
      <c r="J169" s="13"/>
    </row>
    <row r="170" spans="2:10" x14ac:dyDescent="0.25">
      <c r="B170" s="13" t="s">
        <v>391</v>
      </c>
      <c r="C170" s="13"/>
      <c r="D170" s="13"/>
      <c r="E170" s="13"/>
      <c r="F170" s="13"/>
      <c r="G170" s="13"/>
      <c r="H170" s="87"/>
      <c r="I170" s="13"/>
      <c r="J170" s="13"/>
    </row>
    <row r="171" spans="2:10" x14ac:dyDescent="0.25">
      <c r="B171" s="13" t="str">
        <f>"    $('#canceledit_"&amp;'tables and models'!F39&amp;"'+id).click(function(){"</f>
        <v xml:space="preserve">    $('#canceledit_taskdiscussion'+id).click(function(){</v>
      </c>
      <c r="C171" s="13"/>
      <c r="D171" s="13"/>
      <c r="E171" s="13"/>
      <c r="F171" s="13"/>
      <c r="G171" s="13"/>
      <c r="H171" s="13"/>
      <c r="I171" s="13"/>
      <c r="J171" s="13"/>
    </row>
    <row r="172" spans="2:10" x14ac:dyDescent="0.25">
      <c r="B172" s="13" t="str">
        <f>"            $('#edit_"&amp;'tables and models'!F39&amp;"'+id).show();"</f>
        <v xml:space="preserve">            $('#edit_taskdiscussion'+id).show();</v>
      </c>
      <c r="C172" s="13"/>
      <c r="D172" s="13"/>
      <c r="E172" s="13"/>
      <c r="F172" s="13"/>
      <c r="G172" s="13"/>
      <c r="H172" s="13"/>
      <c r="I172" s="13"/>
      <c r="J172" s="13"/>
    </row>
    <row r="173" spans="2:10" x14ac:dyDescent="0.25">
      <c r="B173" s="13" t="str">
        <f>"            $('."&amp;'tables and models'!F39&amp;"_editable'+id).show();"</f>
        <v xml:space="preserve">            $('.taskdiscussion_editable'+id).show();</v>
      </c>
      <c r="C173" s="13"/>
      <c r="D173" s="13"/>
      <c r="E173" s="13"/>
      <c r="F173" s="13"/>
      <c r="G173" s="13"/>
      <c r="H173" s="13"/>
      <c r="I173" s="13"/>
      <c r="J173" s="13"/>
    </row>
    <row r="174" spans="2:10" x14ac:dyDescent="0.25">
      <c r="B174" s="13" t="str">
        <f>"            $('."&amp;'tables and models'!F39&amp;"_inputhidden'+id).hide();"</f>
        <v xml:space="preserve">            $('.taskdiscussion_inputhidden'+id).hide();</v>
      </c>
      <c r="C174" s="13"/>
      <c r="D174" s="13"/>
      <c r="E174" s="13"/>
      <c r="F174" s="13"/>
      <c r="G174" s="13"/>
      <c r="H174" s="13"/>
      <c r="I174" s="13"/>
      <c r="J174" s="13"/>
    </row>
    <row r="175" spans="2:10" x14ac:dyDescent="0.25">
      <c r="B175" s="13" t="s">
        <v>391</v>
      </c>
      <c r="C175" s="13"/>
      <c r="D175" s="13"/>
      <c r="E175" s="13"/>
      <c r="F175" s="13"/>
      <c r="G175" s="13"/>
      <c r="H175" s="13"/>
      <c r="I175" s="13"/>
      <c r="J175" s="13"/>
    </row>
    <row r="176" spans="2:10" x14ac:dyDescent="0.25">
      <c r="B176" s="13" t="str">
        <f>"    $('#confirmedit_"&amp;'tables and models'!F39&amp;"'+id).click(function(){"</f>
        <v xml:space="preserve">    $('#confirmedit_taskdiscussion'+id).click(function(){</v>
      </c>
      <c r="C176" s="13"/>
      <c r="D176" s="13"/>
      <c r="E176" s="13"/>
      <c r="F176" s="13"/>
      <c r="G176" s="13"/>
      <c r="H176" s="13"/>
      <c r="I176" s="13"/>
      <c r="J176" s="13"/>
    </row>
    <row r="177" spans="1:10" x14ac:dyDescent="0.25">
      <c r="B177" s="13" t="str">
        <f>"        $('#wait_while_updating_"&amp;'tables and models'!F39&amp;"'+id).show();"</f>
        <v xml:space="preserve">        $('#wait_while_updating_taskdiscussion'+id).show();</v>
      </c>
      <c r="C177" s="13"/>
      <c r="D177" s="13"/>
      <c r="E177" s="13"/>
      <c r="F177" s="13"/>
      <c r="G177" s="13"/>
      <c r="H177" s="13"/>
      <c r="I177" s="13"/>
      <c r="J177" s="13"/>
    </row>
    <row r="178" spans="1:10" x14ac:dyDescent="0.25">
      <c r="B178" s="13" t="str">
        <f>"        $('."&amp;'tables and models'!F39&amp;"_inputhidden'+id).hide();"</f>
        <v xml:space="preserve">        $('.taskdiscussion_inputhidden'+id).hide();</v>
      </c>
      <c r="C178" s="13"/>
      <c r="D178" s="13"/>
      <c r="E178" s="13"/>
      <c r="F178" s="13"/>
      <c r="G178" s="13"/>
      <c r="H178" s="13"/>
      <c r="I178" s="13"/>
      <c r="J178" s="13"/>
    </row>
    <row r="179" spans="1:10" x14ac:dyDescent="0.25">
      <c r="B179" s="13" t="str">
        <f>"        $('."&amp;'tables and models'!F39&amp;"_editable'+id).show();"</f>
        <v xml:space="preserve">        $('.taskdiscussion_editable'+id).show();</v>
      </c>
      <c r="C179" s="13"/>
      <c r="D179" s="13"/>
      <c r="E179" s="13"/>
      <c r="F179" s="13"/>
      <c r="G179" s="13"/>
      <c r="H179" s="13"/>
      <c r="I179" s="13"/>
      <c r="J179" s="13"/>
    </row>
    <row r="180" spans="1:10" x14ac:dyDescent="0.25">
      <c r="B180" s="13" t="str">
        <f>"        $('#delete_"&amp;'tables and models'!F39&amp;"'+id).hide();"</f>
        <v xml:space="preserve">        $('#delete_taskdiscussion'+id).hide();</v>
      </c>
      <c r="C180" s="13"/>
      <c r="D180" s="13"/>
      <c r="E180" s="13"/>
      <c r="F180" s="13"/>
      <c r="G180" s="13"/>
      <c r="H180" s="13"/>
      <c r="I180" s="13"/>
      <c r="J180" s="13"/>
    </row>
    <row r="181" spans="1:10" x14ac:dyDescent="0.25">
      <c r="B181" s="13" t="str">
        <f>"        $('."&amp;'tables and models'!F39&amp;"_deletehidden'+id).hide();"</f>
        <v xml:space="preserve">        $('.taskdiscussion_deletehidden'+id).hide();</v>
      </c>
      <c r="C181" s="13"/>
      <c r="D181" s="13"/>
      <c r="E181" s="13"/>
      <c r="F181" s="13"/>
      <c r="G181" s="13"/>
      <c r="H181" s="13"/>
      <c r="I181" s="13"/>
      <c r="J181" s="13"/>
    </row>
    <row r="182" spans="1:10" x14ac:dyDescent="0.25">
      <c r="B182" s="13" t="s">
        <v>445</v>
      </c>
      <c r="C182" s="13"/>
      <c r="D182" s="13"/>
      <c r="E182" s="13"/>
      <c r="F182" s="13"/>
      <c r="G182" s="13"/>
      <c r="H182" s="13"/>
      <c r="I182" s="13"/>
      <c r="J182" s="13"/>
    </row>
    <row r="183" spans="1:10" x14ac:dyDescent="0.25">
      <c r="A183" s="24" t="s">
        <v>447</v>
      </c>
      <c r="B183" s="13" t="str">
        <f>"        "&amp;X97&amp;X98&amp;X99&amp;X100&amp;X101&amp;X102&amp;X103&amp;X104&amp;X105&amp;X106</f>
        <v xml:space="preserve">        var originated_from=$('#input_taskdiscussionoriginated_from'+id).val();var directed_to=$('#input_taskdiscussiondirected_to'+id).val();var descr=$('#input_taskdiscussiondescr'+id).val();</v>
      </c>
      <c r="C183" s="13"/>
      <c r="D183" s="13"/>
      <c r="E183" s="13"/>
      <c r="F183" s="13"/>
      <c r="G183" s="13"/>
      <c r="H183" s="13"/>
      <c r="I183" s="13"/>
      <c r="J183" s="13"/>
    </row>
    <row r="184" spans="1:10" x14ac:dyDescent="0.25">
      <c r="A184" s="24" t="s">
        <v>448</v>
      </c>
      <c r="B184" s="13" t="str">
        <f>"        "&amp;AD97&amp;AD98&amp;AD99&amp;AD100&amp;AD101&amp;AD102&amp;AD103&amp;AD104&amp;AD105&amp;AD106</f>
        <v xml:space="preserve">        </v>
      </c>
      <c r="C184" s="13"/>
      <c r="D184" s="13"/>
      <c r="E184" s="13"/>
      <c r="F184" s="13"/>
      <c r="G184" s="13"/>
      <c r="H184" s="13"/>
      <c r="I184" s="13"/>
      <c r="J184" s="13"/>
    </row>
    <row r="185" spans="1:10" x14ac:dyDescent="0.25">
      <c r="A185" s="24"/>
      <c r="B185" s="13" t="str">
        <f>"        $.post(base+'/ajax/"&amp;'tables and models'!F39&amp;"update',{id:id,"&amp;Y23&amp;AE23&amp;"},function(d){"</f>
        <v xml:space="preserve">        $.post(base+'/ajax/taskdiscussionupdate',{id:id,originated_from:originated_from,directed_to:directed_to,descr:descr,thetask_id:thetask_id},function(d){</v>
      </c>
      <c r="C185" s="13"/>
      <c r="D185" s="13"/>
      <c r="E185" s="13"/>
      <c r="F185" s="13"/>
      <c r="G185" s="13"/>
      <c r="H185" s="13"/>
      <c r="I185" s="13"/>
      <c r="J185" s="13"/>
    </row>
    <row r="186" spans="1:10" x14ac:dyDescent="0.25">
      <c r="A186" s="24"/>
      <c r="B186" s="13" t="s">
        <v>450</v>
      </c>
      <c r="C186" s="13"/>
      <c r="D186" s="13"/>
      <c r="E186" s="13"/>
      <c r="F186" s="13"/>
      <c r="G186" s="13"/>
      <c r="H186" s="13"/>
      <c r="I186" s="13"/>
      <c r="J186" s="13"/>
    </row>
    <row r="187" spans="1:10" x14ac:dyDescent="0.25">
      <c r="B187" s="13" t="s">
        <v>449</v>
      </c>
      <c r="C187" s="13"/>
      <c r="D187" s="13"/>
      <c r="E187" s="13"/>
      <c r="F187" s="13"/>
      <c r="G187" s="13"/>
      <c r="H187" s="13"/>
      <c r="I187" s="13"/>
      <c r="J187" s="13"/>
    </row>
    <row r="188" spans="1:10" x14ac:dyDescent="0.25">
      <c r="B188" s="13" t="s">
        <v>391</v>
      </c>
      <c r="C188" s="13"/>
      <c r="D188" s="13"/>
      <c r="E188" s="13"/>
      <c r="F188" s="13"/>
      <c r="G188" s="13"/>
      <c r="H188" s="13"/>
      <c r="I188" s="13"/>
      <c r="J188" s="13"/>
    </row>
    <row r="189" spans="1:10" x14ac:dyDescent="0.25">
      <c r="B189" s="13" t="str">
        <f>"    $('#delete_"&amp;'tables and models'!F39&amp;"'+id).click(function(){"</f>
        <v xml:space="preserve">    $('#delete_taskdiscussion'+id).click(function(){</v>
      </c>
      <c r="C189" s="13"/>
      <c r="D189" s="13"/>
      <c r="E189" s="13"/>
      <c r="F189" s="13"/>
      <c r="G189" s="13"/>
      <c r="H189" s="13"/>
      <c r="I189" s="13"/>
      <c r="J189" s="13"/>
    </row>
    <row r="190" spans="1:10" x14ac:dyDescent="0.25">
      <c r="B190" s="13" t="s">
        <v>443</v>
      </c>
      <c r="C190" s="13"/>
      <c r="D190" s="13"/>
      <c r="E190" s="13"/>
      <c r="F190" s="13"/>
      <c r="G190" s="13"/>
      <c r="H190" s="13"/>
      <c r="I190" s="13"/>
      <c r="J190" s="13"/>
    </row>
    <row r="191" spans="1:10" x14ac:dyDescent="0.25">
      <c r="B191" s="13" t="str">
        <f>"        $('."&amp;'tables and models'!F39&amp;"_deletehidden'+id).show();"</f>
        <v xml:space="preserve">        $('.taskdiscussion_deletehidden'+id).show();</v>
      </c>
      <c r="C191" s="13"/>
      <c r="D191" s="13"/>
      <c r="E191" s="13"/>
      <c r="F191" s="13"/>
      <c r="G191" s="13"/>
      <c r="H191" s="13"/>
      <c r="I191" s="13"/>
      <c r="J191" s="13"/>
    </row>
    <row r="192" spans="1:10" x14ac:dyDescent="0.25">
      <c r="B192" s="13" t="s">
        <v>391</v>
      </c>
      <c r="C192" s="13"/>
      <c r="D192" s="13"/>
      <c r="E192" s="13"/>
      <c r="F192" s="13"/>
      <c r="G192" s="13"/>
      <c r="H192" s="13"/>
      <c r="I192" s="13"/>
      <c r="J192" s="13"/>
    </row>
    <row r="193" spans="2:10" x14ac:dyDescent="0.25">
      <c r="B193" s="13" t="str">
        <f>"    $('#canceldelete_"&amp;'tables and models'!F39&amp;"'+id).click(function(){"</f>
        <v xml:space="preserve">    $('#canceldelete_taskdiscussion'+id).click(function(){</v>
      </c>
      <c r="C193" s="13"/>
      <c r="D193" s="13"/>
      <c r="E193" s="13"/>
      <c r="F193" s="13"/>
      <c r="G193" s="13"/>
      <c r="H193" s="13"/>
      <c r="I193" s="13"/>
      <c r="J193" s="13"/>
    </row>
    <row r="194" spans="2:10" x14ac:dyDescent="0.25">
      <c r="B194" s="13" t="str">
        <f>"        $('."&amp;'tables and models'!F39&amp;"_deletehidden'+id).hide();"</f>
        <v xml:space="preserve">        $('.taskdiscussion_deletehidden'+id).hide();</v>
      </c>
      <c r="C194" s="13"/>
      <c r="D194" s="13"/>
      <c r="E194" s="13"/>
      <c r="F194" s="13"/>
      <c r="G194" s="13"/>
      <c r="H194" s="13"/>
      <c r="I194" s="13"/>
      <c r="J194" s="13"/>
    </row>
    <row r="195" spans="2:10" x14ac:dyDescent="0.25">
      <c r="B195" s="13" t="str">
        <f>"        $('#delete_"&amp;'tables and models'!F39&amp;"'+id).show();"</f>
        <v xml:space="preserve">        $('#delete_taskdiscussion'+id).show();</v>
      </c>
      <c r="C195" s="13"/>
      <c r="D195" s="13"/>
      <c r="E195" s="13"/>
      <c r="F195" s="13"/>
      <c r="G195" s="13"/>
      <c r="H195" s="13"/>
      <c r="I195" s="13"/>
      <c r="J195" s="13"/>
    </row>
    <row r="196" spans="2:10" x14ac:dyDescent="0.25">
      <c r="B196" s="13" t="s">
        <v>391</v>
      </c>
      <c r="C196" s="13"/>
      <c r="D196" s="13"/>
      <c r="E196" s="13"/>
      <c r="F196" s="13"/>
      <c r="G196" s="13"/>
      <c r="H196" s="13"/>
      <c r="I196" s="13"/>
      <c r="J196" s="13"/>
    </row>
    <row r="197" spans="2:10" x14ac:dyDescent="0.25">
      <c r="B197" s="13" t="str">
        <f>"    $('#yesdelete_"&amp;'tables and models'!F39&amp;"'+id).click(function(){"</f>
        <v xml:space="preserve">    $('#yesdelete_taskdiscussion'+id).click(function(){</v>
      </c>
      <c r="C197" s="13"/>
      <c r="D197" s="13"/>
      <c r="E197" s="13"/>
      <c r="F197" s="13"/>
      <c r="G197" s="13"/>
      <c r="H197" s="13"/>
      <c r="I197" s="13"/>
      <c r="J197" s="13"/>
    </row>
    <row r="198" spans="2:10" x14ac:dyDescent="0.25">
      <c r="B198" s="13" t="str">
        <f>"        $('."&amp;'tables and models'!F39&amp;"_deletehidden'+id).hide();"</f>
        <v xml:space="preserve">        $('.taskdiscussion_deletehidden'+id).hide();</v>
      </c>
      <c r="C198" s="13"/>
      <c r="D198" s="13"/>
      <c r="E198" s="13"/>
      <c r="F198" s="13"/>
      <c r="G198" s="13"/>
      <c r="H198" s="13"/>
      <c r="I198" s="13"/>
      <c r="J198" s="13"/>
    </row>
    <row r="199" spans="2:10" x14ac:dyDescent="0.25">
      <c r="B199" s="13" t="str">
        <f>"        $('#wait_while_updating_"&amp;'tables and models'!F39&amp;"'+id).show();"</f>
        <v xml:space="preserve">        $('#wait_while_updating_taskdiscussion'+id).show();</v>
      </c>
      <c r="C199" s="13"/>
      <c r="D199" s="13"/>
      <c r="E199" s="13"/>
      <c r="F199" s="13"/>
      <c r="G199" s="13"/>
      <c r="H199" s="13"/>
      <c r="I199" s="13"/>
      <c r="J199" s="13"/>
    </row>
    <row r="200" spans="2:10" x14ac:dyDescent="0.25">
      <c r="B200" s="13" t="s">
        <v>445</v>
      </c>
      <c r="C200" s="13"/>
      <c r="D200" s="13"/>
      <c r="E200" s="13"/>
      <c r="F200" s="13"/>
      <c r="G200" s="13"/>
      <c r="H200" s="13"/>
      <c r="I200" s="13"/>
      <c r="J200" s="13"/>
    </row>
    <row r="201" spans="2:10" x14ac:dyDescent="0.25">
      <c r="B201" s="13" t="str">
        <f>"        $.post(base+'/ajax/"&amp;'tables and models'!F39&amp;"delete',{id:id,},function(d){"</f>
        <v xml:space="preserve">        $.post(base+'/ajax/taskdiscussiondelete',{id:id,},function(d){</v>
      </c>
      <c r="C201" s="13"/>
      <c r="D201" s="13"/>
      <c r="E201" s="13"/>
      <c r="F201" s="13"/>
      <c r="G201" s="13"/>
      <c r="H201" s="13"/>
      <c r="I201" s="13"/>
      <c r="J201" s="13"/>
    </row>
    <row r="202" spans="2:10" x14ac:dyDescent="0.25">
      <c r="B202" s="13" t="s">
        <v>450</v>
      </c>
      <c r="C202" s="13"/>
      <c r="D202" s="13"/>
      <c r="E202" s="13"/>
      <c r="F202" s="13"/>
      <c r="G202" s="13"/>
      <c r="H202" s="13"/>
      <c r="I202" s="13"/>
      <c r="J202" s="13"/>
    </row>
    <row r="203" spans="2:10" x14ac:dyDescent="0.25">
      <c r="B203" s="13" t="s">
        <v>449</v>
      </c>
      <c r="C203" s="13"/>
      <c r="D203" s="13"/>
      <c r="E203" s="13"/>
      <c r="F203" s="13"/>
      <c r="G203" s="13"/>
      <c r="H203" s="13"/>
      <c r="I203" s="13"/>
      <c r="J203" s="13"/>
    </row>
    <row r="204" spans="2:10" x14ac:dyDescent="0.25">
      <c r="B204" s="13" t="s">
        <v>391</v>
      </c>
      <c r="C204" s="13"/>
      <c r="D204" s="13"/>
      <c r="E204" s="13"/>
      <c r="F204" s="13"/>
      <c r="G204" s="13"/>
      <c r="H204" s="13"/>
      <c r="I204" s="13"/>
      <c r="J204" s="13"/>
    </row>
    <row r="205" spans="2:10" x14ac:dyDescent="0.25">
      <c r="B205" s="13" t="s">
        <v>2</v>
      </c>
      <c r="C205" s="13"/>
      <c r="D205" s="13"/>
      <c r="E205" s="13"/>
      <c r="F205" s="13"/>
      <c r="G205" s="13"/>
      <c r="H205" s="13"/>
      <c r="I205" s="13"/>
      <c r="J205" s="13"/>
    </row>
    <row r="207" spans="2:10" x14ac:dyDescent="0.25">
      <c r="B207" s="2" t="s">
        <v>451</v>
      </c>
    </row>
    <row r="208" spans="2:10" x14ac:dyDescent="0.25">
      <c r="B208" s="13" t="str">
        <f>"    public function post"&amp;'tables and models'!G39&amp;"update (){"</f>
        <v xml:space="preserve">    public function postTaskdiscussionupdate (){</v>
      </c>
      <c r="C208" s="13"/>
      <c r="D208" s="13"/>
      <c r="E208" s="13"/>
      <c r="F208" s="13"/>
      <c r="G208" s="13"/>
      <c r="H208" s="13"/>
      <c r="I208" s="13"/>
      <c r="J208" s="13"/>
    </row>
    <row r="209" spans="2:10" x14ac:dyDescent="0.25">
      <c r="B209" s="13" t="s">
        <v>452</v>
      </c>
      <c r="C209" s="13"/>
      <c r="D209" s="13"/>
      <c r="E209" s="13"/>
      <c r="F209" s="13"/>
      <c r="G209" s="13"/>
      <c r="H209" s="13"/>
      <c r="I209" s="13"/>
      <c r="J209" s="13"/>
    </row>
    <row r="210" spans="2:10" x14ac:dyDescent="0.25">
      <c r="B210" s="13" t="s">
        <v>453</v>
      </c>
      <c r="C210" s="13"/>
      <c r="D210" s="13"/>
      <c r="E210" s="13"/>
      <c r="F210" s="13"/>
      <c r="G210" s="13"/>
      <c r="H210" s="13"/>
      <c r="I210" s="13"/>
      <c r="J210" s="13"/>
    </row>
    <row r="211" spans="2:10" x14ac:dyDescent="0.25">
      <c r="B211" s="13" t="str">
        <f>"            "&amp;AG107</f>
        <v xml:space="preserve">            'originated_from'=&gt;$_POST['originated_from'],'directed_to'=&gt;$_POST['directed_to'],'descr'=&gt;$_POST['descr']</v>
      </c>
      <c r="C211" s="13"/>
      <c r="D211" s="13"/>
      <c r="E211" s="13"/>
      <c r="F211" s="13"/>
      <c r="G211" s="13"/>
      <c r="H211" s="13"/>
      <c r="I211" s="13"/>
      <c r="J211" s="13"/>
    </row>
    <row r="212" spans="2:10" x14ac:dyDescent="0.25">
      <c r="B212" s="13" t="s">
        <v>454</v>
      </c>
      <c r="C212" s="13"/>
      <c r="D212" s="13"/>
      <c r="E212" s="13"/>
      <c r="F212" s="13"/>
      <c r="G212" s="13"/>
      <c r="H212" s="13"/>
      <c r="I212" s="13"/>
      <c r="J212" s="13"/>
    </row>
    <row r="213" spans="2:10" x14ac:dyDescent="0.25">
      <c r="B213" s="13" t="str">
        <f>"        "&amp;'tables and models'!G39&amp;"::find($id)-&gt;update($u);"</f>
        <v xml:space="preserve">        Taskdiscussion::find($id)-&gt;update($u);</v>
      </c>
      <c r="C213" s="13"/>
      <c r="D213" s="13"/>
      <c r="E213" s="13"/>
      <c r="F213" s="13"/>
      <c r="G213" s="13"/>
      <c r="H213" s="13"/>
      <c r="I213" s="13"/>
      <c r="J213" s="13"/>
    </row>
    <row r="214" spans="2:10" x14ac:dyDescent="0.25">
      <c r="B214" s="13" t="s">
        <v>455</v>
      </c>
      <c r="C214" s="13"/>
      <c r="D214" s="13"/>
      <c r="E214" s="13"/>
      <c r="F214" s="13"/>
      <c r="G214" s="13"/>
      <c r="H214" s="13"/>
      <c r="I214" s="13"/>
      <c r="J214" s="13"/>
    </row>
    <row r="215" spans="2:10" x14ac:dyDescent="0.25">
      <c r="B215" s="13" t="s">
        <v>154</v>
      </c>
      <c r="C215" s="13"/>
      <c r="D215" s="13"/>
      <c r="E215" s="13"/>
      <c r="F215" s="13"/>
      <c r="G215" s="13"/>
      <c r="H215" s="13"/>
      <c r="I215" s="13"/>
      <c r="J215" s="13"/>
    </row>
    <row r="216" spans="2:10" x14ac:dyDescent="0.25"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2:10" x14ac:dyDescent="0.25">
      <c r="B217" s="13" t="str">
        <f>"    public function post"&amp;'tables and models'!G39&amp;"delete (){"</f>
        <v xml:space="preserve">    public function postTaskdiscussiondelete (){</v>
      </c>
      <c r="C217" s="13"/>
      <c r="D217" s="13"/>
      <c r="E217" s="13"/>
      <c r="F217" s="13"/>
      <c r="G217" s="13"/>
      <c r="H217" s="13"/>
      <c r="I217" s="13"/>
      <c r="J217" s="13"/>
    </row>
    <row r="218" spans="2:10" x14ac:dyDescent="0.25">
      <c r="B218" s="13" t="str">
        <f>"        "&amp;'tables and models'!G39&amp;"::find($_POST['id'])-&gt;delete();"</f>
        <v xml:space="preserve">        Taskdiscussion::find($_POST['id'])-&gt;delete();</v>
      </c>
      <c r="C218" s="13"/>
      <c r="D218" s="13"/>
      <c r="E218" s="13"/>
      <c r="F218" s="13"/>
      <c r="G218" s="13"/>
      <c r="H218" s="13"/>
      <c r="I218" s="13"/>
      <c r="J218" s="13"/>
    </row>
    <row r="219" spans="2:10" x14ac:dyDescent="0.25">
      <c r="B219" s="13" t="s">
        <v>455</v>
      </c>
      <c r="C219" s="13"/>
      <c r="D219" s="13"/>
      <c r="E219" s="13"/>
      <c r="F219" s="13"/>
      <c r="G219" s="13"/>
      <c r="H219" s="13"/>
      <c r="I219" s="13"/>
      <c r="J219" s="13"/>
    </row>
    <row r="220" spans="2:10" x14ac:dyDescent="0.25">
      <c r="B220" s="13" t="s">
        <v>154</v>
      </c>
      <c r="C220" s="13"/>
      <c r="D220" s="13"/>
      <c r="E220" s="13"/>
      <c r="F220" s="13"/>
      <c r="G220" s="13"/>
      <c r="H220" s="13"/>
      <c r="I220" s="13"/>
      <c r="J220" s="13"/>
    </row>
    <row r="221" spans="2:10" x14ac:dyDescent="0.25"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2:10" x14ac:dyDescent="0.25"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2:10" x14ac:dyDescent="0.25">
      <c r="B223" s="13"/>
      <c r="C223" s="13"/>
      <c r="D223" s="13"/>
      <c r="E223" s="13"/>
      <c r="F223" s="13"/>
      <c r="G223" s="13"/>
      <c r="H223" s="13"/>
      <c r="I223" s="13"/>
      <c r="J223" s="13"/>
    </row>
    <row r="225" spans="2:7" x14ac:dyDescent="0.25">
      <c r="B225" s="2" t="s">
        <v>347</v>
      </c>
    </row>
    <row r="226" spans="2:7" x14ac:dyDescent="0.25">
      <c r="B226" s="2" t="s">
        <v>348</v>
      </c>
    </row>
    <row r="227" spans="2:7" x14ac:dyDescent="0.25">
      <c r="B227" s="2" t="s">
        <v>350</v>
      </c>
    </row>
    <row r="228" spans="2:7" x14ac:dyDescent="0.25">
      <c r="B228" s="64" t="s">
        <v>366</v>
      </c>
      <c r="C228" s="17"/>
      <c r="D228" s="17"/>
      <c r="E228" s="17"/>
      <c r="F228" s="17"/>
    </row>
    <row r="230" spans="2:7" x14ac:dyDescent="0.25">
      <c r="B230" s="2" t="s">
        <v>381</v>
      </c>
    </row>
    <row r="231" spans="2:7" x14ac:dyDescent="0.25">
      <c r="B231" s="64" t="s">
        <v>382</v>
      </c>
      <c r="C231" s="17"/>
      <c r="D231" s="17"/>
      <c r="E231" s="17"/>
      <c r="F231" s="17"/>
    </row>
    <row r="233" spans="2:7" x14ac:dyDescent="0.25">
      <c r="B233" s="2" t="s">
        <v>380</v>
      </c>
    </row>
    <row r="234" spans="2:7" x14ac:dyDescent="0.25">
      <c r="B234" s="2" t="s">
        <v>356</v>
      </c>
    </row>
    <row r="235" spans="2:7" x14ac:dyDescent="0.25">
      <c r="B235" s="2" t="s">
        <v>351</v>
      </c>
    </row>
    <row r="236" spans="2:7" x14ac:dyDescent="0.25">
      <c r="B236" s="2" t="s">
        <v>355</v>
      </c>
    </row>
    <row r="237" spans="2:7" x14ac:dyDescent="0.25">
      <c r="B237" s="2" t="s">
        <v>352</v>
      </c>
    </row>
    <row r="238" spans="2:7" x14ac:dyDescent="0.25">
      <c r="B238" s="64" t="s">
        <v>365</v>
      </c>
      <c r="C238" s="17"/>
      <c r="D238" s="17"/>
      <c r="E238" s="17"/>
      <c r="F238" s="17"/>
      <c r="G238" s="17"/>
    </row>
    <row r="239" spans="2:7" x14ac:dyDescent="0.25">
      <c r="B239" s="65" t="s">
        <v>349</v>
      </c>
      <c r="C239" s="17"/>
      <c r="D239" s="17"/>
      <c r="E239" s="17"/>
      <c r="F239" s="17"/>
      <c r="G239" s="17"/>
    </row>
    <row r="240" spans="2:7" x14ac:dyDescent="0.25">
      <c r="B240" s="64" t="s">
        <v>362</v>
      </c>
      <c r="C240" s="17"/>
      <c r="D240" s="17"/>
      <c r="E240" s="17"/>
      <c r="F240" s="17"/>
      <c r="G240" s="17"/>
    </row>
    <row r="241" spans="2:8" x14ac:dyDescent="0.25">
      <c r="B241" s="65" t="s">
        <v>353</v>
      </c>
      <c r="C241" s="17"/>
      <c r="D241" s="17"/>
      <c r="E241" s="17"/>
      <c r="F241" s="17"/>
      <c r="G241" s="17"/>
    </row>
    <row r="242" spans="2:8" x14ac:dyDescent="0.25">
      <c r="B242" s="64" t="s">
        <v>361</v>
      </c>
      <c r="C242" s="17"/>
      <c r="D242" s="17"/>
      <c r="E242" s="17"/>
      <c r="F242" s="17"/>
      <c r="G242" s="17"/>
    </row>
    <row r="243" spans="2:8" x14ac:dyDescent="0.25">
      <c r="B243" s="65" t="s">
        <v>354</v>
      </c>
      <c r="C243" s="17"/>
      <c r="D243" s="17"/>
      <c r="E243" s="17"/>
      <c r="F243" s="17"/>
      <c r="G243" s="17"/>
    </row>
    <row r="244" spans="2:8" s="32" customFormat="1" x14ac:dyDescent="0.25">
      <c r="B244" s="64" t="s">
        <v>360</v>
      </c>
      <c r="C244" s="17"/>
      <c r="D244" s="17"/>
      <c r="E244" s="17"/>
      <c r="F244" s="17"/>
      <c r="G244" s="17"/>
    </row>
    <row r="245" spans="2:8" s="32" customFormat="1" x14ac:dyDescent="0.25">
      <c r="B245" s="64" t="s">
        <v>363</v>
      </c>
      <c r="C245" s="17"/>
      <c r="D245" s="17"/>
      <c r="E245" s="17"/>
      <c r="F245" s="17"/>
      <c r="G245" s="17"/>
    </row>
    <row r="246" spans="2:8" s="32" customFormat="1" x14ac:dyDescent="0.25">
      <c r="B246" s="64" t="s">
        <v>357</v>
      </c>
      <c r="C246" s="17"/>
      <c r="D246" s="17"/>
      <c r="E246" s="17"/>
      <c r="F246" s="17"/>
      <c r="G246" s="17"/>
    </row>
    <row r="247" spans="2:8" s="32" customFormat="1" x14ac:dyDescent="0.25">
      <c r="B247" s="64" t="s">
        <v>358</v>
      </c>
      <c r="C247" s="17"/>
      <c r="D247" s="17"/>
      <c r="E247" s="17"/>
      <c r="F247" s="17"/>
      <c r="G247" s="17"/>
    </row>
    <row r="248" spans="2:8" s="32" customFormat="1" x14ac:dyDescent="0.25">
      <c r="B248" s="64" t="s">
        <v>359</v>
      </c>
      <c r="C248" s="17"/>
      <c r="D248" s="17"/>
      <c r="E248" s="17"/>
      <c r="F248" s="17"/>
      <c r="G248" s="17"/>
      <c r="H248" s="17"/>
    </row>
    <row r="249" spans="2:8" s="32" customFormat="1" x14ac:dyDescent="0.25">
      <c r="B249" s="64" t="s">
        <v>364</v>
      </c>
      <c r="C249" s="17"/>
      <c r="D249" s="17"/>
      <c r="E249" s="17"/>
      <c r="F249" s="17"/>
      <c r="G249" s="17"/>
      <c r="H249" s="17"/>
    </row>
    <row r="250" spans="2:8" s="32" customFormat="1" x14ac:dyDescent="0.25">
      <c r="B250" s="64" t="s">
        <v>280</v>
      </c>
      <c r="C250" s="17"/>
      <c r="D250" s="17"/>
      <c r="E250" s="17"/>
      <c r="F250" s="17"/>
      <c r="G250" s="17"/>
      <c r="H250" s="17"/>
    </row>
    <row r="251" spans="2:8" s="32" customFormat="1" x14ac:dyDescent="0.25">
      <c r="B251" s="64" t="s">
        <v>163</v>
      </c>
      <c r="C251" s="17"/>
      <c r="D251" s="17"/>
      <c r="E251" s="17"/>
      <c r="F251" s="17"/>
      <c r="G251" s="17"/>
    </row>
    <row r="252" spans="2:8" x14ac:dyDescent="0.25">
      <c r="B252" s="66" t="s">
        <v>105</v>
      </c>
      <c r="C252" s="67"/>
      <c r="D252" s="67"/>
      <c r="E252" s="67"/>
      <c r="F252" s="67"/>
      <c r="G252" s="67"/>
    </row>
    <row r="255" spans="2:8" x14ac:dyDescent="0.25">
      <c r="B255" s="2" t="s">
        <v>435</v>
      </c>
    </row>
    <row r="256" spans="2:8" x14ac:dyDescent="0.25">
      <c r="B256" s="2" t="s">
        <v>436</v>
      </c>
    </row>
    <row r="257" spans="2:2" x14ac:dyDescent="0.25">
      <c r="B257" s="2" t="s">
        <v>437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J31"/>
  <sheetViews>
    <sheetView workbookViewId="0">
      <pane ySplit="3" topLeftCell="A9" activePane="bottomLeft" state="frozen"/>
      <selection pane="bottomLeft"/>
    </sheetView>
  </sheetViews>
  <sheetFormatPr baseColWidth="10" defaultColWidth="11.42578125" defaultRowHeight="15" x14ac:dyDescent="0.25"/>
  <cols>
    <col min="1" max="16384" width="11.42578125" style="2"/>
  </cols>
  <sheetData>
    <row r="1" spans="2:10" s="60" customFormat="1" x14ac:dyDescent="0.25"/>
    <row r="2" spans="2:10" s="60" customFormat="1" x14ac:dyDescent="0.25"/>
    <row r="3" spans="2:10" s="60" customFormat="1" x14ac:dyDescent="0.25"/>
    <row r="6" spans="2:10" x14ac:dyDescent="0.25">
      <c r="B6" s="53" t="s">
        <v>320</v>
      </c>
    </row>
    <row r="7" spans="2:10" x14ac:dyDescent="0.25">
      <c r="C7" s="53" t="s">
        <v>318</v>
      </c>
    </row>
    <row r="8" spans="2:10" x14ac:dyDescent="0.25">
      <c r="C8" s="62" t="s">
        <v>319</v>
      </c>
    </row>
    <row r="10" spans="2:10" x14ac:dyDescent="0.25">
      <c r="B10" s="2" t="s">
        <v>322</v>
      </c>
    </row>
    <row r="11" spans="2:10" x14ac:dyDescent="0.25">
      <c r="B11" s="63" t="s">
        <v>323</v>
      </c>
    </row>
    <row r="12" spans="2:10" x14ac:dyDescent="0.25">
      <c r="B12" s="63" t="s">
        <v>324</v>
      </c>
    </row>
    <row r="13" spans="2:10" x14ac:dyDescent="0.25">
      <c r="B13" s="63" t="s">
        <v>325</v>
      </c>
    </row>
    <row r="14" spans="2:10" x14ac:dyDescent="0.25">
      <c r="B14" s="18" t="s">
        <v>330</v>
      </c>
      <c r="C14" s="18"/>
      <c r="D14" s="18"/>
      <c r="E14" s="18"/>
      <c r="F14" s="18"/>
      <c r="G14" s="18"/>
      <c r="H14" s="18"/>
      <c r="I14" s="18"/>
      <c r="J14" s="18"/>
    </row>
    <row r="15" spans="2:10" x14ac:dyDescent="0.25">
      <c r="B15" s="18"/>
      <c r="C15" s="18" t="s">
        <v>331</v>
      </c>
      <c r="D15" s="18"/>
      <c r="E15" s="18"/>
      <c r="F15" s="18" t="s">
        <v>326</v>
      </c>
      <c r="G15" s="18"/>
      <c r="H15" s="18"/>
      <c r="I15" s="18"/>
      <c r="J15" s="18"/>
    </row>
    <row r="16" spans="2:10" x14ac:dyDescent="0.25">
      <c r="B16" s="18"/>
      <c r="C16" s="18" t="s">
        <v>321</v>
      </c>
      <c r="D16" s="18"/>
      <c r="E16" s="18"/>
      <c r="F16" s="18"/>
      <c r="G16" s="18"/>
      <c r="H16" s="18" t="s">
        <v>327</v>
      </c>
      <c r="I16" s="18"/>
      <c r="J16" s="18"/>
    </row>
    <row r="17" spans="2:10" x14ac:dyDescent="0.25">
      <c r="B17" s="18" t="s">
        <v>328</v>
      </c>
      <c r="C17" s="18"/>
      <c r="D17" s="18"/>
      <c r="E17" s="18"/>
      <c r="F17" s="18"/>
      <c r="G17" s="18"/>
      <c r="H17" s="18"/>
      <c r="I17" s="18"/>
      <c r="J17" s="18"/>
    </row>
    <row r="19" spans="2:10" x14ac:dyDescent="0.25">
      <c r="B19" s="2" t="s">
        <v>329</v>
      </c>
    </row>
    <row r="21" spans="2:10" x14ac:dyDescent="0.25">
      <c r="B21" s="18" t="s">
        <v>334</v>
      </c>
      <c r="C21" s="18"/>
      <c r="D21" s="18"/>
      <c r="E21" s="18"/>
      <c r="F21" s="18"/>
      <c r="G21" s="18"/>
      <c r="H21" s="18"/>
      <c r="I21" s="18"/>
      <c r="J21" s="18"/>
    </row>
    <row r="22" spans="2:10" x14ac:dyDescent="0.25">
      <c r="B22" s="18" t="s">
        <v>335</v>
      </c>
      <c r="C22" s="18"/>
      <c r="D22" s="18"/>
      <c r="E22" s="18"/>
      <c r="F22" s="18"/>
      <c r="G22" s="18"/>
      <c r="H22" s="18"/>
      <c r="I22" s="18"/>
      <c r="J22" s="18"/>
    </row>
    <row r="23" spans="2:10" x14ac:dyDescent="0.25">
      <c r="B23" s="18" t="s">
        <v>109</v>
      </c>
      <c r="C23" s="18"/>
      <c r="D23" s="18"/>
      <c r="E23" s="18"/>
      <c r="F23" s="18"/>
      <c r="G23" s="18"/>
      <c r="H23" s="18"/>
      <c r="I23" s="18"/>
      <c r="J23" s="18"/>
    </row>
    <row r="24" spans="2:10" x14ac:dyDescent="0.25">
      <c r="B24" s="18" t="s">
        <v>336</v>
      </c>
      <c r="C24" s="18"/>
      <c r="D24" s="18"/>
      <c r="E24" s="18"/>
      <c r="F24" s="18"/>
      <c r="G24" s="18"/>
      <c r="H24" s="18"/>
      <c r="I24" s="18"/>
      <c r="J24" s="18"/>
    </row>
    <row r="25" spans="2:10" x14ac:dyDescent="0.25">
      <c r="B25" s="18" t="s">
        <v>333</v>
      </c>
      <c r="C25" s="18"/>
      <c r="D25" s="18"/>
      <c r="E25" s="18"/>
      <c r="F25" s="18"/>
      <c r="G25" s="18"/>
      <c r="H25" s="18"/>
      <c r="I25" s="18"/>
      <c r="J25" s="18"/>
    </row>
    <row r="26" spans="2:10" x14ac:dyDescent="0.25">
      <c r="B26" s="18"/>
      <c r="C26" s="18"/>
      <c r="D26" s="18"/>
      <c r="E26" s="18"/>
      <c r="F26" s="18"/>
      <c r="G26" s="18"/>
      <c r="H26" s="18"/>
      <c r="I26" s="18"/>
      <c r="J26" s="18"/>
    </row>
    <row r="27" spans="2:10" x14ac:dyDescent="0.25">
      <c r="B27" s="18" t="s">
        <v>154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25">
      <c r="B28" s="18" t="s">
        <v>332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5">
      <c r="B29" s="18"/>
      <c r="C29" s="18"/>
      <c r="D29" s="18"/>
      <c r="E29" s="18"/>
      <c r="F29" s="18"/>
      <c r="G29" s="18"/>
      <c r="H29" s="18"/>
      <c r="I29" s="18"/>
      <c r="J29" s="18"/>
    </row>
    <row r="30" spans="2:10" x14ac:dyDescent="0.25">
      <c r="B30" s="18"/>
      <c r="C30" s="18"/>
      <c r="D30" s="18"/>
      <c r="E30" s="18"/>
      <c r="F30" s="18"/>
      <c r="G30" s="18"/>
      <c r="H30" s="18"/>
      <c r="I30" s="18"/>
      <c r="J30" s="18"/>
    </row>
    <row r="31" spans="2:10" x14ac:dyDescent="0.25">
      <c r="B31" s="18"/>
      <c r="C31" s="18"/>
      <c r="D31" s="18"/>
      <c r="E31" s="18"/>
      <c r="F31" s="18"/>
      <c r="G31" s="18"/>
      <c r="H31" s="18"/>
      <c r="I31" s="18"/>
      <c r="J31" s="1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E25"/>
  <sheetViews>
    <sheetView zoomScaleNormal="100" workbookViewId="0">
      <pane ySplit="3" topLeftCell="A4" activePane="bottomLeft" state="frozen"/>
      <selection pane="bottomLeft" activeCell="E25" sqref="E25"/>
    </sheetView>
  </sheetViews>
  <sheetFormatPr baseColWidth="10" defaultColWidth="11.42578125" defaultRowHeight="15" x14ac:dyDescent="0.25"/>
  <cols>
    <col min="1" max="16384" width="11.42578125" style="2"/>
  </cols>
  <sheetData>
    <row r="1" spans="2:5" s="13" customFormat="1" x14ac:dyDescent="0.25"/>
    <row r="2" spans="2:5" s="13" customFormat="1" x14ac:dyDescent="0.25"/>
    <row r="3" spans="2:5" s="13" customFormat="1" x14ac:dyDescent="0.25"/>
    <row r="5" spans="2:5" x14ac:dyDescent="0.25">
      <c r="B5" s="2" t="s">
        <v>295</v>
      </c>
    </row>
    <row r="7" spans="2:5" x14ac:dyDescent="0.25">
      <c r="B7" s="2" t="s">
        <v>305</v>
      </c>
    </row>
    <row r="8" spans="2:5" x14ac:dyDescent="0.25">
      <c r="B8" s="2" t="s">
        <v>296</v>
      </c>
      <c r="C8" s="2" t="s">
        <v>297</v>
      </c>
      <c r="E8" s="23" t="s">
        <v>303</v>
      </c>
    </row>
    <row r="9" spans="2:5" x14ac:dyDescent="0.25">
      <c r="B9" s="2" t="s">
        <v>298</v>
      </c>
      <c r="C9" s="2" t="s">
        <v>299</v>
      </c>
      <c r="E9" s="23" t="s">
        <v>304</v>
      </c>
    </row>
    <row r="10" spans="2:5" x14ac:dyDescent="0.25">
      <c r="B10" s="2" t="s">
        <v>300</v>
      </c>
      <c r="C10" s="2" t="s">
        <v>301</v>
      </c>
      <c r="E10" s="23" t="s">
        <v>302</v>
      </c>
    </row>
    <row r="11" spans="2:5" x14ac:dyDescent="0.25">
      <c r="B11" s="2" t="s">
        <v>310</v>
      </c>
      <c r="C11" s="2" t="s">
        <v>311</v>
      </c>
      <c r="E11" s="23" t="s">
        <v>312</v>
      </c>
    </row>
    <row r="12" spans="2:5" x14ac:dyDescent="0.25">
      <c r="B12" s="2" t="s">
        <v>307</v>
      </c>
      <c r="C12" s="2" t="s">
        <v>308</v>
      </c>
      <c r="E12" s="23" t="s">
        <v>309</v>
      </c>
    </row>
    <row r="13" spans="2:5" x14ac:dyDescent="0.25">
      <c r="B13" s="2" t="s">
        <v>317</v>
      </c>
      <c r="C13" s="2" t="s">
        <v>315</v>
      </c>
      <c r="E13" s="23" t="s">
        <v>316</v>
      </c>
    </row>
    <row r="14" spans="2:5" x14ac:dyDescent="0.25">
      <c r="B14" s="2" t="s">
        <v>344</v>
      </c>
      <c r="C14" s="2" t="s">
        <v>345</v>
      </c>
      <c r="E14" s="23" t="s">
        <v>343</v>
      </c>
    </row>
    <row r="15" spans="2:5" x14ac:dyDescent="0.25">
      <c r="B15" s="11" t="s">
        <v>482</v>
      </c>
      <c r="C15" s="2" t="s">
        <v>483</v>
      </c>
      <c r="E15" s="23" t="s">
        <v>484</v>
      </c>
    </row>
    <row r="17" spans="2:5" x14ac:dyDescent="0.25">
      <c r="B17" s="2" t="s">
        <v>306</v>
      </c>
    </row>
    <row r="18" spans="2:5" x14ac:dyDescent="0.25">
      <c r="B18" s="2" t="s">
        <v>98</v>
      </c>
      <c r="C18" s="2" t="s">
        <v>313</v>
      </c>
      <c r="E18" s="3" t="s">
        <v>314</v>
      </c>
    </row>
    <row r="19" spans="2:5" x14ac:dyDescent="0.25">
      <c r="B19" s="2" t="s">
        <v>337</v>
      </c>
      <c r="C19" s="2" t="s">
        <v>338</v>
      </c>
      <c r="E19" s="3" t="s">
        <v>341</v>
      </c>
    </row>
    <row r="20" spans="2:5" x14ac:dyDescent="0.25">
      <c r="B20" s="2" t="s">
        <v>339</v>
      </c>
      <c r="C20" s="2" t="s">
        <v>340</v>
      </c>
      <c r="E20" s="3" t="s">
        <v>342</v>
      </c>
    </row>
    <row r="21" spans="2:5" x14ac:dyDescent="0.25">
      <c r="B21" s="2" t="s">
        <v>479</v>
      </c>
      <c r="C21" s="2" t="s">
        <v>480</v>
      </c>
      <c r="E21" s="3" t="s">
        <v>481</v>
      </c>
    </row>
    <row r="22" spans="2:5" x14ac:dyDescent="0.25">
      <c r="B22" s="2" t="s">
        <v>489</v>
      </c>
      <c r="C22" s="2" t="s">
        <v>490</v>
      </c>
      <c r="E22" s="3" t="s">
        <v>491</v>
      </c>
    </row>
    <row r="23" spans="2:5" x14ac:dyDescent="0.25">
      <c r="B23" s="2" t="s">
        <v>496</v>
      </c>
      <c r="C23" s="2" t="s">
        <v>497</v>
      </c>
      <c r="E23" s="3" t="s">
        <v>498</v>
      </c>
    </row>
    <row r="24" spans="2:5" x14ac:dyDescent="0.25">
      <c r="B24" s="2" t="s">
        <v>520</v>
      </c>
      <c r="C24" s="2" t="s">
        <v>521</v>
      </c>
      <c r="E24" s="3" t="s">
        <v>522</v>
      </c>
    </row>
    <row r="25" spans="2:5" x14ac:dyDescent="0.25">
      <c r="B25" s="2" t="s">
        <v>523</v>
      </c>
      <c r="C25" s="2" t="s">
        <v>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Index</vt:lpstr>
      <vt:lpstr>Start project</vt:lpstr>
      <vt:lpstr>view controllers</vt:lpstr>
      <vt:lpstr>brain programming</vt:lpstr>
      <vt:lpstr>cleaning protocol</vt:lpstr>
      <vt:lpstr>tables and models</vt:lpstr>
      <vt:lpstr>CRUD</vt:lpstr>
      <vt:lpstr>csv</vt:lpstr>
      <vt:lpstr>ST2 snippets</vt:lpstr>
      <vt:lpstr>Modal</vt:lpstr>
      <vt:lpstr>imperfect update v1</vt:lpstr>
      <vt:lpstr>amChartsv1</vt:lpstr>
      <vt:lpstr>laravelAuth v1</vt:lpstr>
      <vt:lpstr>Laravel mail v1</vt:lpstr>
      <vt:lpstr>git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2014-05-14T00:57:32Z</dcterms:modified>
</cp:coreProperties>
</file>