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edry\public\support docs\"/>
    </mc:Choice>
  </mc:AlternateContent>
  <bookViews>
    <workbookView xWindow="0" yWindow="0" windowWidth="15300" windowHeight="8340" firstSheet="9" activeTab="13"/>
  </bookViews>
  <sheets>
    <sheet name="Index" sheetId="15" r:id="rId1"/>
    <sheet name="Start project" sheetId="21" r:id="rId2"/>
    <sheet name="view controllers" sheetId="22" r:id="rId3"/>
    <sheet name="tables and models" sheetId="23" r:id="rId4"/>
    <sheet name="AutoLaravel v1" sheetId="6" r:id="rId5"/>
    <sheet name="Laravel" sheetId="1" state="hidden" r:id="rId6"/>
    <sheet name="FormGeneratorV1" sheetId="12" r:id="rId7"/>
    <sheet name="CRUD v1" sheetId="18" r:id="rId8"/>
    <sheet name="Modal edit form" sheetId="19" r:id="rId9"/>
    <sheet name="imperfect update v1" sheetId="20" r:id="rId10"/>
    <sheet name="inline ajax edit v1" sheetId="14" r:id="rId11"/>
    <sheet name="amChartsv1" sheetId="17" r:id="rId12"/>
    <sheet name="laravelAuth v1" sheetId="7" r:id="rId13"/>
    <sheet name="Laravel mail v1" sheetId="10" r:id="rId14"/>
    <sheet name="Controller generator" sheetId="11" state="hidden" r:id="rId15"/>
    <sheet name="table relations v1" sheetId="13" r:id="rId16"/>
    <sheet name="pending to automate" sheetId="16" r:id="rId17"/>
    <sheet name="error ptscreen" sheetId="9" r:id="rId18"/>
  </sheets>
  <definedNames>
    <definedName name="_xlnm._FilterDatabase" localSheetId="10" hidden="1">'inline ajax edit v1'!$C$48:$C$49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0" l="1"/>
  <c r="F30" i="10"/>
  <c r="F28" i="10" l="1"/>
  <c r="F29" i="10"/>
  <c r="G29" i="10" s="1"/>
  <c r="G28" i="10"/>
  <c r="F32" i="10"/>
  <c r="G32" i="10" s="1"/>
  <c r="G31" i="10"/>
  <c r="G30" i="10"/>
  <c r="F20" i="10"/>
  <c r="G20" i="10" s="1"/>
  <c r="F21" i="10"/>
  <c r="J21" i="10" s="1"/>
  <c r="F22" i="10"/>
  <c r="G22" i="10" s="1"/>
  <c r="F23" i="10"/>
  <c r="G23" i="10" s="1"/>
  <c r="F19" i="10"/>
  <c r="G19" i="10" s="1"/>
  <c r="C14" i="10"/>
  <c r="H13" i="10"/>
  <c r="C37" i="10" s="1"/>
  <c r="J19" i="10" l="1"/>
  <c r="J22" i="10"/>
  <c r="J23" i="10"/>
  <c r="J20" i="10"/>
  <c r="G21" i="10"/>
  <c r="C15" i="23"/>
  <c r="C14" i="23"/>
  <c r="C18" i="23" s="1"/>
  <c r="D57" i="23"/>
  <c r="O47" i="23"/>
  <c r="N47" i="23"/>
  <c r="K47" i="23"/>
  <c r="J47" i="23"/>
  <c r="O46" i="23"/>
  <c r="N46" i="23"/>
  <c r="K46" i="23"/>
  <c r="J46" i="23"/>
  <c r="O45" i="23"/>
  <c r="N45" i="23"/>
  <c r="K45" i="23"/>
  <c r="J45" i="23"/>
  <c r="O44" i="23"/>
  <c r="N44" i="23"/>
  <c r="K44" i="23"/>
  <c r="J44" i="23"/>
  <c r="O43" i="23"/>
  <c r="N43" i="23"/>
  <c r="K43" i="23"/>
  <c r="J43" i="23"/>
  <c r="O42" i="23"/>
  <c r="N42" i="23"/>
  <c r="K42" i="23"/>
  <c r="J42" i="23"/>
  <c r="O41" i="23"/>
  <c r="N41" i="23"/>
  <c r="K41" i="23"/>
  <c r="J41" i="23"/>
  <c r="O40" i="23"/>
  <c r="N40" i="23"/>
  <c r="K40" i="23"/>
  <c r="J40" i="23"/>
  <c r="O39" i="23"/>
  <c r="K39" i="23"/>
  <c r="J39" i="23"/>
  <c r="O38" i="23"/>
  <c r="Q38" i="23" s="1"/>
  <c r="N38" i="23"/>
  <c r="N39" i="23" s="1"/>
  <c r="K38" i="23"/>
  <c r="J38" i="23"/>
  <c r="F36" i="23"/>
  <c r="G36" i="23" s="1"/>
  <c r="C53" i="23" s="1"/>
  <c r="F33" i="23"/>
  <c r="F32" i="23"/>
  <c r="F31" i="23"/>
  <c r="C5" i="23"/>
  <c r="C60" i="23" s="1"/>
  <c r="C16" i="21"/>
  <c r="C15" i="22"/>
  <c r="C14" i="22"/>
  <c r="C51" i="22"/>
  <c r="C50" i="22"/>
  <c r="C49" i="22"/>
  <c r="G48" i="22"/>
  <c r="H36" i="22"/>
  <c r="C55" i="22" s="1"/>
  <c r="C36" i="22"/>
  <c r="C35" i="22"/>
  <c r="H34" i="22"/>
  <c r="E34" i="22"/>
  <c r="H33" i="22"/>
  <c r="C5" i="22"/>
  <c r="C24" i="21"/>
  <c r="C17" i="21"/>
  <c r="C15" i="21"/>
  <c r="C5" i="21"/>
  <c r="Q39" i="23" l="1"/>
  <c r="Q40" i="23" s="1"/>
  <c r="Q41" i="23" s="1"/>
  <c r="Q42" i="23" s="1"/>
  <c r="Q43" i="23" s="1"/>
  <c r="Q44" i="23" s="1"/>
  <c r="Q45" i="23" s="1"/>
  <c r="Q46" i="23" s="1"/>
  <c r="Q47" i="23" s="1"/>
  <c r="C22" i="23"/>
  <c r="P38" i="23"/>
  <c r="P39" i="23" s="1"/>
  <c r="P40" i="23" s="1"/>
  <c r="P41" i="23" s="1"/>
  <c r="P42" i="23" s="1"/>
  <c r="P43" i="23" s="1"/>
  <c r="P44" i="23" s="1"/>
  <c r="P45" i="23" s="1"/>
  <c r="P46" i="23" s="1"/>
  <c r="P47" i="23" s="1"/>
  <c r="M33" i="23" s="1"/>
  <c r="C51" i="23" s="1"/>
  <c r="C22" i="22"/>
  <c r="C37" i="22"/>
  <c r="C39" i="22"/>
  <c r="D48" i="22"/>
  <c r="C18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E9" i="19" l="1"/>
  <c r="D38" i="19" l="1"/>
  <c r="C11" i="19"/>
  <c r="B18" i="19"/>
  <c r="C13" i="19"/>
  <c r="B15" i="19" s="1"/>
  <c r="D37" i="19" l="1"/>
  <c r="B46" i="19"/>
  <c r="B44" i="19"/>
  <c r="B144" i="14" l="1"/>
  <c r="B100" i="14"/>
  <c r="B82" i="14"/>
  <c r="N242" i="14"/>
  <c r="N241" i="14"/>
  <c r="N240" i="14"/>
  <c r="N239" i="14"/>
  <c r="N238" i="14"/>
  <c r="N237" i="14"/>
  <c r="N236" i="14"/>
  <c r="N235" i="14"/>
  <c r="N234" i="14"/>
  <c r="N233" i="14"/>
  <c r="G42" i="14"/>
  <c r="M42" i="14" s="1"/>
  <c r="G41" i="14"/>
  <c r="M41" i="14" s="1"/>
  <c r="G40" i="14"/>
  <c r="M40" i="14" s="1"/>
  <c r="G39" i="14"/>
  <c r="M39" i="14" s="1"/>
  <c r="G38" i="14"/>
  <c r="M38" i="14" s="1"/>
  <c r="G37" i="14"/>
  <c r="M37" i="14" s="1"/>
  <c r="G36" i="14"/>
  <c r="M36" i="14" s="1"/>
  <c r="G35" i="14"/>
  <c r="M35" i="14" s="1"/>
  <c r="G34" i="14"/>
  <c r="M34" i="14" s="1"/>
  <c r="G33" i="14"/>
  <c r="M33" i="14" s="1"/>
  <c r="O42" i="14"/>
  <c r="O33" i="14"/>
  <c r="N33" i="14"/>
  <c r="Q41" i="14" l="1"/>
  <c r="Q37" i="14"/>
  <c r="Q33" i="14"/>
  <c r="Q39" i="14"/>
  <c r="Q35" i="14"/>
  <c r="Q42" i="14"/>
  <c r="Q40" i="14"/>
  <c r="Q38" i="14"/>
  <c r="Q36" i="14"/>
  <c r="Q34" i="14"/>
  <c r="F63" i="6"/>
  <c r="B33" i="14"/>
  <c r="P33" i="14" s="1"/>
  <c r="B34" i="14"/>
  <c r="B35" i="14"/>
  <c r="B36" i="14"/>
  <c r="B37" i="14"/>
  <c r="B38" i="14"/>
  <c r="B39" i="14"/>
  <c r="B40" i="14"/>
  <c r="B41" i="14"/>
  <c r="B42" i="14"/>
  <c r="F65" i="6"/>
  <c r="F64" i="6"/>
  <c r="C48" i="14" l="1"/>
  <c r="C49" i="14"/>
  <c r="C61" i="14"/>
  <c r="P36" i="14"/>
  <c r="P34" i="14"/>
  <c r="L42" i="14"/>
  <c r="N42" i="14" s="1"/>
  <c r="P42" i="14"/>
  <c r="L40" i="14"/>
  <c r="N40" i="14" s="1"/>
  <c r="P40" i="14"/>
  <c r="L38" i="14"/>
  <c r="N38" i="14" s="1"/>
  <c r="P38" i="14"/>
  <c r="L41" i="14"/>
  <c r="N41" i="14" s="1"/>
  <c r="P41" i="14"/>
  <c r="L39" i="14"/>
  <c r="N39" i="14" s="1"/>
  <c r="P39" i="14"/>
  <c r="C47" i="14" s="1"/>
  <c r="P37" i="14"/>
  <c r="P35" i="14"/>
  <c r="C60" i="14"/>
  <c r="L33" i="14"/>
  <c r="N34" i="14"/>
  <c r="L35" i="14"/>
  <c r="L36" i="14"/>
  <c r="L34" i="14"/>
  <c r="L37" i="14"/>
  <c r="B78" i="12"/>
  <c r="B77" i="12"/>
  <c r="B76" i="12"/>
  <c r="B75" i="12"/>
  <c r="B74" i="12"/>
  <c r="B73" i="12"/>
  <c r="C26" i="6"/>
  <c r="D46" i="12"/>
  <c r="G52" i="6"/>
  <c r="C46" i="14" l="1"/>
  <c r="C59" i="14"/>
  <c r="C53" i="14"/>
  <c r="N37" i="14"/>
  <c r="N36" i="14"/>
  <c r="N35" i="14"/>
  <c r="C58" i="14"/>
  <c r="H40" i="6"/>
  <c r="C59" i="6" s="1"/>
  <c r="D19" i="6"/>
  <c r="C17" i="6"/>
  <c r="C52" i="14" l="1"/>
  <c r="N224" i="14"/>
  <c r="N225" i="14"/>
  <c r="N226" i="14"/>
  <c r="N227" i="14"/>
  <c r="N228" i="14"/>
  <c r="N229" i="14"/>
  <c r="N230" i="14"/>
  <c r="N231" i="14"/>
  <c r="N232" i="14"/>
  <c r="N223" i="14"/>
  <c r="C40" i="6"/>
  <c r="C39" i="6"/>
  <c r="C11" i="14"/>
  <c r="E11" i="14" s="1"/>
  <c r="B131" i="14" s="1"/>
  <c r="B127" i="14" l="1"/>
  <c r="B115" i="14"/>
  <c r="B118" i="14"/>
  <c r="B114" i="14"/>
  <c r="B89" i="14"/>
  <c r="B111" i="14"/>
  <c r="F11" i="14"/>
  <c r="C69" i="14"/>
  <c r="C53" i="6"/>
  <c r="C63" i="14" l="1"/>
  <c r="D89" i="6"/>
  <c r="C54" i="6"/>
  <c r="C55" i="6"/>
  <c r="D44" i="12"/>
  <c r="D45" i="12"/>
  <c r="H38" i="6"/>
  <c r="E38" i="6"/>
  <c r="H37" i="6"/>
  <c r="C41" i="6" l="1"/>
  <c r="C43" i="6"/>
  <c r="B171" i="14"/>
  <c r="C5" i="14"/>
  <c r="C4" i="14"/>
  <c r="C3" i="14"/>
  <c r="C2" i="14"/>
  <c r="B174" i="14"/>
  <c r="B5" i="14"/>
  <c r="B175" i="14"/>
  <c r="B3" i="14"/>
  <c r="B176" i="14"/>
  <c r="B1" i="14"/>
  <c r="A6" i="14"/>
  <c r="A3" i="14"/>
  <c r="C64" i="14"/>
  <c r="C16" i="14" l="1"/>
  <c r="E16" i="14" s="1"/>
  <c r="G16" i="14" s="1"/>
  <c r="B159" i="14"/>
  <c r="B166" i="14"/>
  <c r="B203" i="14"/>
  <c r="C5" i="6"/>
  <c r="C92" i="6" s="1"/>
  <c r="B169" i="14" l="1"/>
  <c r="H16" i="14"/>
  <c r="B199" i="14" s="1"/>
  <c r="B202" i="14"/>
  <c r="B201" i="14"/>
  <c r="B158" i="14"/>
  <c r="B170" i="14"/>
  <c r="B200" i="14"/>
  <c r="B167" i="14"/>
  <c r="B121" i="13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B41" i="12"/>
  <c r="H83" i="12"/>
  <c r="H17" i="12"/>
  <c r="D47" i="12" l="1"/>
  <c r="D48" i="12"/>
  <c r="B71" i="12" s="1"/>
  <c r="I17" i="12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B45" i="13"/>
  <c r="B51" i="13"/>
  <c r="D64" i="13"/>
  <c r="B24" i="13"/>
  <c r="D19" i="13"/>
  <c r="B26" i="13" s="1"/>
  <c r="E46" i="12"/>
  <c r="D83" i="12" s="1"/>
  <c r="E44" i="12"/>
  <c r="D84" i="12" s="1"/>
  <c r="B50" i="12"/>
  <c r="H18" i="12"/>
  <c r="G99" i="12" s="1"/>
  <c r="H19" i="12"/>
  <c r="G100" i="12" s="1"/>
  <c r="H20" i="12"/>
  <c r="G101" i="12" s="1"/>
  <c r="H21" i="12"/>
  <c r="G102" i="12" s="1"/>
  <c r="H22" i="12"/>
  <c r="G103" i="12" s="1"/>
  <c r="H23" i="12"/>
  <c r="G104" i="12" s="1"/>
  <c r="H24" i="12"/>
  <c r="G105" i="12" s="1"/>
  <c r="H25" i="12"/>
  <c r="G106" i="12" s="1"/>
  <c r="H26" i="12"/>
  <c r="O17" i="12"/>
  <c r="B18" i="12"/>
  <c r="B19" i="12"/>
  <c r="B20" i="12"/>
  <c r="B21" i="12"/>
  <c r="B22" i="12"/>
  <c r="B23" i="12"/>
  <c r="B24" i="12"/>
  <c r="B25" i="12"/>
  <c r="B26" i="12"/>
  <c r="B17" i="12"/>
  <c r="K17" i="12"/>
  <c r="H30" i="12" s="1"/>
  <c r="G16" i="11"/>
  <c r="D16" i="11"/>
  <c r="G15" i="11"/>
  <c r="I15" i="11" s="1"/>
  <c r="D15" i="11"/>
  <c r="D11" i="11"/>
  <c r="B56" i="12" l="1"/>
  <c r="B55" i="12"/>
  <c r="D62" i="13"/>
  <c r="C26" i="12"/>
  <c r="C24" i="12"/>
  <c r="D92" i="12" s="1"/>
  <c r="C22" i="12"/>
  <c r="C20" i="12"/>
  <c r="D88" i="12" s="1"/>
  <c r="O26" i="12"/>
  <c r="I26" i="12"/>
  <c r="I24" i="12"/>
  <c r="H37" i="12" s="1"/>
  <c r="O22" i="12"/>
  <c r="I22" i="12"/>
  <c r="H35" i="12" s="1"/>
  <c r="I20" i="12"/>
  <c r="H33" i="12" s="1"/>
  <c r="O18" i="12"/>
  <c r="I18" i="12"/>
  <c r="H31" i="12" s="1"/>
  <c r="I25" i="12"/>
  <c r="H38" i="12" s="1"/>
  <c r="I23" i="12"/>
  <c r="H36" i="12" s="1"/>
  <c r="I21" i="12"/>
  <c r="H34" i="12" s="1"/>
  <c r="I19" i="12"/>
  <c r="H32" i="12" s="1"/>
  <c r="C18" i="12"/>
  <c r="D86" i="12" s="1"/>
  <c r="B59" i="12"/>
  <c r="B61" i="12"/>
  <c r="B58" i="12"/>
  <c r="B60" i="12"/>
  <c r="B57" i="12"/>
  <c r="O25" i="12"/>
  <c r="N17" i="12"/>
  <c r="O21" i="12"/>
  <c r="O23" i="12"/>
  <c r="O19" i="12"/>
  <c r="N26" i="12"/>
  <c r="N24" i="12"/>
  <c r="N22" i="12"/>
  <c r="N20" i="12"/>
  <c r="N18" i="12"/>
  <c r="N25" i="12"/>
  <c r="N23" i="12"/>
  <c r="N21" i="12"/>
  <c r="N19" i="12"/>
  <c r="O24" i="12"/>
  <c r="O20" i="12"/>
  <c r="C17" i="12"/>
  <c r="D85" i="12" s="1"/>
  <c r="C25" i="12"/>
  <c r="C23" i="12"/>
  <c r="D91" i="12" s="1"/>
  <c r="C21" i="12"/>
  <c r="D89" i="12" s="1"/>
  <c r="C19" i="12"/>
  <c r="D87" i="12" s="1"/>
  <c r="B39" i="12" l="1"/>
  <c r="D94" i="12"/>
  <c r="B53" i="12"/>
  <c r="B38" i="12"/>
  <c r="D93" i="12"/>
  <c r="B54" i="12"/>
  <c r="B35" i="12"/>
  <c r="D90" i="12"/>
  <c r="E18" i="12"/>
  <c r="B31" i="12" s="1"/>
  <c r="E23" i="12"/>
  <c r="B36" i="12"/>
  <c r="E24" i="12"/>
  <c r="B37" i="12"/>
  <c r="E20" i="12"/>
  <c r="B33" i="12" s="1"/>
  <c r="B63" i="12"/>
  <c r="E22" i="12"/>
  <c r="E26" i="12"/>
  <c r="B65" i="12"/>
  <c r="K22" i="12"/>
  <c r="B52" i="12"/>
  <c r="B68" i="12"/>
  <c r="E19" i="12"/>
  <c r="B32" i="12" s="1"/>
  <c r="E17" i="12"/>
  <c r="B30" i="12" s="1"/>
  <c r="K18" i="12"/>
  <c r="E21" i="12"/>
  <c r="B34" i="12" s="1"/>
  <c r="E25" i="12"/>
  <c r="K26" i="12"/>
  <c r="H39" i="12" s="1"/>
  <c r="K19" i="12"/>
  <c r="K21" i="12"/>
  <c r="K23" i="12"/>
  <c r="K25" i="12"/>
  <c r="K20" i="12"/>
  <c r="K24" i="12"/>
  <c r="B66" i="12"/>
  <c r="B67" i="12"/>
  <c r="B64" i="12"/>
  <c r="C20" i="6"/>
  <c r="F68" i="6" l="1"/>
  <c r="L83" i="12" s="1"/>
  <c r="O71" i="6"/>
  <c r="O72" i="6"/>
  <c r="O73" i="6"/>
  <c r="O74" i="6"/>
  <c r="O75" i="6"/>
  <c r="O76" i="6"/>
  <c r="O77" i="6"/>
  <c r="O78" i="6"/>
  <c r="O79" i="6"/>
  <c r="O70" i="6"/>
  <c r="Q70" i="6" s="1"/>
  <c r="N70" i="6"/>
  <c r="P70" i="6" s="1"/>
  <c r="K71" i="6"/>
  <c r="K72" i="6"/>
  <c r="K73" i="6"/>
  <c r="K74" i="6"/>
  <c r="K75" i="6"/>
  <c r="K76" i="6"/>
  <c r="K77" i="6"/>
  <c r="K78" i="6"/>
  <c r="K79" i="6"/>
  <c r="K70" i="6"/>
  <c r="J71" i="6"/>
  <c r="J72" i="6"/>
  <c r="J73" i="6"/>
  <c r="J74" i="6"/>
  <c r="J75" i="6"/>
  <c r="J76" i="6"/>
  <c r="J77" i="6"/>
  <c r="J78" i="6"/>
  <c r="J79" i="6"/>
  <c r="J70" i="6"/>
  <c r="G98" i="12" l="1"/>
  <c r="G107" i="12"/>
  <c r="D101" i="12"/>
  <c r="D107" i="12"/>
  <c r="D103" i="12"/>
  <c r="D104" i="12"/>
  <c r="D105" i="12"/>
  <c r="D106" i="12"/>
  <c r="D102" i="12"/>
  <c r="D99" i="12"/>
  <c r="D110" i="12"/>
  <c r="D100" i="12"/>
  <c r="D98" i="12"/>
  <c r="G68" i="6"/>
  <c r="N71" i="6"/>
  <c r="N72" i="6" s="1"/>
  <c r="N73" i="6" s="1"/>
  <c r="N74" i="6" s="1"/>
  <c r="N75" i="6" s="1"/>
  <c r="N76" i="6" s="1"/>
  <c r="N77" i="6" s="1"/>
  <c r="N78" i="6" s="1"/>
  <c r="N79" i="6" s="1"/>
  <c r="D52" i="6"/>
  <c r="D143" i="14" s="1"/>
  <c r="Q71" i="6"/>
  <c r="Q72" i="6" s="1"/>
  <c r="Q73" i="6" s="1"/>
  <c r="Q74" i="6" s="1"/>
  <c r="Q75" i="6" s="1"/>
  <c r="Q76" i="6" s="1"/>
  <c r="Q77" i="6" s="1"/>
  <c r="Q78" i="6" s="1"/>
  <c r="Q79" i="6" s="1"/>
  <c r="P71" i="6" l="1"/>
  <c r="P72" i="6" s="1"/>
  <c r="P73" i="6" s="1"/>
  <c r="P74" i="6" s="1"/>
  <c r="P75" i="6" s="1"/>
  <c r="P76" i="6" s="1"/>
  <c r="P77" i="6" s="1"/>
  <c r="P78" i="6" s="1"/>
  <c r="P79" i="6" s="1"/>
  <c r="M65" i="6" s="1"/>
  <c r="C85" i="6"/>
  <c r="J83" i="12"/>
  <c r="D96" i="12" s="1"/>
  <c r="C83" i="6" l="1"/>
  <c r="O38" i="14"/>
  <c r="O41" i="14"/>
  <c r="O40" i="14"/>
  <c r="O39" i="14"/>
  <c r="O37" i="14"/>
  <c r="O36" i="14"/>
  <c r="O35" i="14"/>
  <c r="O34" i="14"/>
  <c r="C55" i="14" l="1"/>
  <c r="C54" i="14"/>
</calcChain>
</file>

<file path=xl/sharedStrings.xml><?xml version="1.0" encoding="utf-8"?>
<sst xmlns="http://schemas.openxmlformats.org/spreadsheetml/2006/main" count="995" uniqueCount="638">
  <si>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</si>
  <si>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</si>
  <si>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</si>
  <si>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</si>
  <si>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</si>
  <si>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</si>
  <si>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</si>
  <si>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</si>
  <si>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</si>
  <si>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</si>
  <si>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</si>
  <si>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</si>
  <si>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</si>
  <si>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</si>
  <si>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</si>
  <si>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</si>
  <si>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</si>
  <si>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</si>
  <si>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</si>
  <si>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</si>
  <si>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</si>
  <si>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</si>
  <si>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</si>
  <si>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</si>
  <si>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</si>
  <si>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</si>
  <si>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</si>
  <si>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</si>
  <si>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</si>
  <si>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</si>
  <si>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</si>
  <si>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</si>
  <si>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</si>
  <si>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</si>
  <si>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</si>
  <si>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</si>
  <si>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</si>
  <si>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</si>
  <si>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</si>
  <si>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</si>
  <si>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</si>
  <si>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</si>
  <si>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</si>
  <si>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</si>
  <si>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</si>
  <si>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</si>
  <si>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</si>
  <si>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</si>
  <si>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</si>
  <si>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</si>
  <si>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</si>
  <si>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</si>
  <si>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</si>
  <si>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</si>
  <si>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php artisan</t>
  </si>
  <si>
    <t>php artisan migrate</t>
  </si>
  <si>
    <t>Database:</t>
  </si>
  <si>
    <t>User:</t>
  </si>
  <si>
    <t>healmy5_root</t>
  </si>
  <si>
    <t>Password:</t>
  </si>
  <si>
    <t>laravel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</si>
  <si>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</si>
  <si>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</si>
  <si>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</si>
  <si>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</si>
  <si>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</si>
  <si>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</si>
  <si>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</si>
  <si>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</si>
  <si>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</si>
  <si>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</si>
  <si>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</si>
  <si>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</si>
  <si>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</si>
  <si>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</si>
  <si>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</si>
  <si>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</si>
  <si>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</si>
  <si>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</si>
  <si>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</si>
  <si>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</si>
  <si>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</si>
  <si>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</si>
  <si>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</si>
  <si>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</si>
  <si>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</si>
  <si>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</si>
  <si>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</si>
  <si>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</si>
  <si>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</si>
  <si>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</si>
  <si>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</si>
  <si>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</si>
  <si>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</si>
  <si>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</si>
  <si>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</si>
  <si>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</si>
  <si>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</si>
  <si>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</si>
  <si>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</si>
  <si>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</si>
  <si>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</si>
  <si>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</si>
  <si>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</si>
  <si>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</si>
  <si>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</si>
  <si>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</si>
  <si>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</si>
  <si>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</si>
  <si>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</si>
  <si>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</si>
  <si>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</si>
  <si>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</si>
  <si>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</si>
  <si>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</si>
  <si>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</si>
  <si>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</si>
  <si>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</si>
  <si>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</si>
  <si>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</si>
  <si>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</si>
  <si>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</si>
  <si>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</si>
  <si>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</si>
  <si>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</si>
  <si>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</si>
  <si>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</si>
  <si>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</si>
  <si>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</si>
  <si>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</si>
  <si>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Next error is usual when POST route action (such as sending form) is not found</t>
  </si>
  <si>
    <t>Solution: check if route::post('sameRouteDescribedOnPostURI'… and its controller action are properly set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</si>
  <si>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</si>
  <si>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</si>
  <si>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</si>
  <si>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</si>
  <si>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</si>
  <si>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</si>
  <si>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</si>
  <si>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</si>
  <si>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</si>
  <si>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</si>
  <si>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</si>
  <si>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</si>
  <si>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</si>
  <si>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</si>
  <si>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</si>
  <si>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</si>
  <si>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</si>
  <si>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</si>
  <si>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</si>
  <si>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</si>
  <si>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</si>
  <si>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</si>
  <si>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</si>
  <si>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</si>
  <si>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</si>
  <si>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</si>
  <si>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</si>
  <si>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</si>
  <si>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</si>
  <si>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</si>
  <si>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</si>
  <si>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</si>
  <si>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</si>
  <si>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</si>
  <si>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</si>
  <si>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</si>
  <si>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</si>
  <si>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</si>
  <si>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</si>
  <si>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</si>
  <si>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</si>
  <si>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</si>
  <si>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</si>
  <si>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</si>
  <si>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</si>
  <si>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</si>
  <si>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</si>
  <si>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</si>
  <si>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</si>
  <si>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</si>
  <si>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</si>
  <si>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</si>
  <si>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</si>
  <si>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</si>
  <si>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AJAX object</t>
  </si>
  <si>
    <t>';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</si>
  <si>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</si>
  <si>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</si>
  <si>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</si>
  <si>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</si>
  <si>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</si>
  <si>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</si>
  <si>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</si>
  <si>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</si>
  <si>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</si>
  <si>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</si>
  <si>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</si>
  <si>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</si>
  <si>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</si>
  <si>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</si>
  <si>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</si>
  <si>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</si>
  <si>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</si>
  <si>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</si>
  <si>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</si>
  <si>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</si>
  <si>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</si>
  <si>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</si>
  <si>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</si>
  <si>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</si>
  <si>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</si>
  <si>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</si>
  <si>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</si>
  <si>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</si>
  <si>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</si>
  <si>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</si>
  <si>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</si>
  <si>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</si>
  <si>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</si>
  <si>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</si>
  <si>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</si>
  <si>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</si>
  <si>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</si>
  <si>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</si>
  <si>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</si>
  <si>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</si>
  <si>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</si>
  <si>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</si>
  <si>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</si>
  <si>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</si>
  <si>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</si>
  <si>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</si>
  <si>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</si>
  <si>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</si>
  <si>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</si>
  <si>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</si>
  <si>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</si>
  <si>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</si>
  <si>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</si>
  <si>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</si>
  <si>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</si>
  <si>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</si>
  <si>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</si>
  <si>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</si>
  <si>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</si>
  <si>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</si>
  <si>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</si>
  <si>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</si>
  <si>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</si>
  <si>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</si>
  <si>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</si>
  <si>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</si>
  <si>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</si>
  <si>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</si>
  <si>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</si>
  <si>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</si>
  <si>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</si>
  <si>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ADDING COLUMNS TO TABLES</t>
  </si>
  <si>
    <t>column name</t>
  </si>
  <si>
    <t>Type</t>
  </si>
  <si>
    <t>thetasks</t>
  </si>
  <si>
    <t>project_id</t>
  </si>
  <si>
    <t>var base=$('#base').html();</t>
  </si>
  <si>
    <t>var route=base+'/</t>
  </si>
  <si>
    <t>put wherever you want the next codes, this is, using css framework grid system</t>
  </si>
  <si>
    <t>&lt;input type='text' id='</t>
  </si>
  <si>
    <t>'&gt;&lt;spam id='</t>
  </si>
  <si>
    <t>'&gt;&lt;/spam&gt;</t>
  </si>
  <si>
    <t>//saving data</t>
  </si>
  <si>
    <t>&lt;button class='btn' id='</t>
  </si>
  <si>
    <t>_submit' &gt;submit&lt;/button&gt;</t>
  </si>
  <si>
    <t>URL</t>
  </si>
  <si>
    <t>table</t>
  </si>
  <si>
    <t>Object</t>
  </si>
  <si>
    <t>-&gt;</t>
  </si>
  <si>
    <t>return 1;</t>
  </si>
  <si>
    <t>Route::controller('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</si>
  <si>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</si>
  <si>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</si>
  <si>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</si>
  <si>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</si>
  <si>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</si>
  <si>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</si>
  <si>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</si>
  <si>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</si>
  <si>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</si>
  <si>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</si>
  <si>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</si>
  <si>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</si>
  <si>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</si>
  <si>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</si>
  <si>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</si>
  <si>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</si>
  <si>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</si>
  <si>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</si>
  <si>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</si>
  <si>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</si>
  <si>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</si>
  <si>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</si>
  <si>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</si>
  <si>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</si>
  <si>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</si>
  <si>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</si>
  <si>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</si>
  <si>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</si>
  <si>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</si>
  <si>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</si>
  <si>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</si>
  <si>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</si>
  <si>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</si>
  <si>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</si>
  <si>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</si>
  <si>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</si>
  <si>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</si>
  <si>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</si>
  <si>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</si>
  <si>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</si>
  <si>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</si>
  <si>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</si>
  <si>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</si>
  <si>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</si>
  <si>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</si>
  <si>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</si>
  <si>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</si>
  <si>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</si>
  <si>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</si>
  <si>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task</t>
  </si>
  <si>
    <t>php artisan generate:migration add_</t>
  </si>
  <si>
    <t>_to_</t>
  </si>
  <si>
    <t>taskController</t>
  </si>
  <si>
    <t>thetask_id</t>
  </si>
  <si>
    <t>Inline ajax edit version 1</t>
  </si>
  <si>
    <t>update</t>
  </si>
  <si>
    <t>delete</t>
  </si>
  <si>
    <t>Read</t>
  </si>
  <si>
    <t>Add +</t>
  </si>
  <si>
    <t>tablename</t>
  </si>
  <si>
    <t>Javascript</t>
  </si>
  <si>
    <t>$(#'</t>
  </si>
  <si>
    <t>if(</t>
  </si>
  <si>
    <t xml:space="preserve">     var base=$('#base').html();</t>
  </si>
  <si>
    <t>$.post(base+'/</t>
  </si>
  <si>
    <t>index route</t>
  </si>
  <si>
    <t>logged</t>
  </si>
  <si>
    <t>},function(d) {</t>
  </si>
  <si>
    <t xml:space="preserve">            //</t>
  </si>
  <si>
    <t xml:space="preserve">    var data={</t>
  </si>
  <si>
    <t xml:space="preserve">    };</t>
  </si>
  <si>
    <t>add</t>
  </si>
  <si>
    <t>confirm_add</t>
  </si>
  <si>
    <t>public function post</t>
  </si>
  <si>
    <t>() {</t>
  </si>
  <si>
    <t>column</t>
  </si>
  <si>
    <t>idea</t>
  </si>
  <si>
    <t>save();</t>
  </si>
  <si>
    <t xml:space="preserve">    return 1;</t>
  </si>
  <si>
    <t>d==1) {</t>
  </si>
  <si>
    <t xml:space="preserve">          }</t>
  </si>
  <si>
    <t xml:space="preserve">PENDING TO </t>
  </si>
  <si>
    <t xml:space="preserve">   AND JS SAVE VIA AJAX NEW ENTERED DATA</t>
  </si>
  <si>
    <t>$books-&gt;load('author', 'publisher');</t>
  </si>
  <si>
    <t>$books = Book::all();</t>
  </si>
  <si>
    <t>}))-&gt;get();</t>
  </si>
  <si>
    <t xml:space="preserve">    $query-&gt;where('title', 'like', '%first%');</t>
  </si>
  <si>
    <t>{</t>
  </si>
  <si>
    <t>$users = User::with(array('posts' =&gt; function($query)</t>
  </si>
  <si>
    <t>$books = Book::with('author.contacts')-&gt;get();</t>
  </si>
  <si>
    <t>$books = Book::with('author', 'publisher')-&gt;get();</t>
  </si>
  <si>
    <t xml:space="preserve">    echo $book-&gt;author-&gt;name;</t>
  </si>
  <si>
    <t>foreach (Book::with('author')-&gt;get() as $book)</t>
  </si>
  <si>
    <t>PENDING TO AUTOMATE</t>
  </si>
  <si>
    <t>bottnk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</si>
  <si>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</si>
  <si>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</si>
  <si>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</si>
  <si>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</si>
  <si>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</si>
  <si>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</si>
  <si>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</si>
  <si>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</si>
  <si>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</si>
  <si>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</si>
  <si>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</si>
  <si>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</si>
  <si>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</si>
  <si>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healmy5_adela</t>
  </si>
  <si>
    <t>Note: if warning signal "composer has not been updated more than 30 days ago" (or something similar) run</t>
  </si>
  <si>
    <t>composer self-update</t>
  </si>
  <si>
    <t>charts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</si>
  <si>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</si>
  <si>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</si>
  <si>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</si>
  <si>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</si>
  <si>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</si>
  <si>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</si>
  <si>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</si>
  <si>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</si>
  <si>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</si>
  <si>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</si>
  <si>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</si>
  <si>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</si>
  <si>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chapters</t>
  </si>
  <si>
    <t>Order by</t>
  </si>
  <si>
    <t>List of fields to choose "orderBy"</t>
  </si>
  <si>
    <t>id</t>
  </si>
  <si>
    <t>created_at</t>
  </si>
  <si>
    <t>updated_at</t>
  </si>
  <si>
    <t xml:space="preserve">    $.post(route,data,function(result){     </t>
  </si>
  <si>
    <t xml:space="preserve">   });</t>
  </si>
  <si>
    <t>').val('');</t>
  </si>
  <si>
    <t>// right column</t>
  </si>
  <si>
    <t>time</t>
  </si>
  <si>
    <t>tinyinteger</t>
  </si>
  <si>
    <t>Type of project</t>
  </si>
  <si>
    <t>practice</t>
  </si>
  <si>
    <t>github</t>
  </si>
  <si>
    <t>RULES</t>
  </si>
  <si>
    <t>2. edit input id= inputedit[table name]_[row id].</t>
  </si>
  <si>
    <t xml:space="preserve">     Example: &lt;input class='input-small' id='inputeditfaustina_{{$v-&gt;id}}' value='{{$v-&gt;data}}'&gt;</t>
  </si>
  <si>
    <t>3. Edit input inside div with 'hide' class, id='edit[table name]_[row id]</t>
  </si>
  <si>
    <t>git clone https://github.com/alejoto/edry.git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</si>
  <si>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</si>
  <si>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</si>
  <si>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</si>
  <si>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</si>
  <si>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</si>
  <si>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</si>
  <si>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</si>
  <si>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 xml:space="preserve">// left column </t>
  </si>
  <si>
    <t xml:space="preserve">// right column </t>
  </si>
  <si>
    <t>age</t>
  </si>
  <si>
    <t>saint</t>
  </si>
  <si>
    <t>comment</t>
  </si>
  <si>
    <t>Filter criteria</t>
  </si>
  <si>
    <t>prayer</t>
  </si>
  <si>
    <t>HTML table header</t>
  </si>
  <si>
    <t>prayer/table</t>
  </si>
  <si>
    <t>View</t>
  </si>
  <si>
    <t>prayer/table.blade.php</t>
  </si>
  <si>
    <t>php artisan generate:view --path="app/views/prayer" table</t>
  </si>
  <si>
    <t>Open path:  app/config/database.php and find mysql array.  Fix it with:</t>
  </si>
  <si>
    <t>public function getTable () {</t>
  </si>
  <si>
    <t xml:space="preserve">    &lt;table class='table table-striped table-bordered table-hover table-condensed'&gt;</t>
  </si>
  <si>
    <t xml:space="preserve">    &lt;/table&gt;</t>
  </si>
  <si>
    <t xml:space="preserve">        &lt;/tr&gt;</t>
  </si>
  <si>
    <t xml:space="preserve">        &lt;tr&gt;</t>
  </si>
  <si>
    <t>AVAILABLE FIELDS</t>
  </si>
  <si>
    <t>SHOWN</t>
  </si>
  <si>
    <t>EDITABLE</t>
  </si>
  <si>
    <t>YES / NO</t>
  </si>
  <si>
    <t>yes</t>
  </si>
  <si>
    <t>no</t>
  </si>
  <si>
    <t>);</t>
  </si>
  <si>
    <t>-&gt;with('header',$header)</t>
  </si>
  <si>
    <t xml:space="preserve">             @endforeach</t>
  </si>
  <si>
    <t xml:space="preserve">             @foreach($header as $h)</t>
  </si>
  <si>
    <t xml:space="preserve">        @endforeach</t>
  </si>
  <si>
    <t xml:space="preserve">            &lt;tr&gt;</t>
  </si>
  <si>
    <t xml:space="preserve">                 &lt;th&gt;{{$h}}&lt;/th&gt;</t>
  </si>
  <si>
    <t>-&gt;with('column',$column)</t>
  </si>
  <si>
    <t>HEADER</t>
  </si>
  <si>
    <t>column  array</t>
  </si>
  <si>
    <t>Header array</t>
  </si>
  <si>
    <t>NAME2</t>
  </si>
  <si>
    <t xml:space="preserve">$column=array( </t>
  </si>
  <si>
    <t xml:space="preserve">$header=array( </t>
  </si>
  <si>
    <t>deletable?</t>
  </si>
  <si>
    <t>Careful: delete header here</t>
  </si>
  <si>
    <t xml:space="preserve">                 &lt;/td&gt;</t>
  </si>
  <si>
    <t xml:space="preserve">                     &lt;/a&gt;</t>
  </si>
  <si>
    <t>-&gt;with('data',$data)</t>
  </si>
  <si>
    <t xml:space="preserve">        @foreach($data-&gt;get() as $d)</t>
  </si>
  <si>
    <t xml:space="preserve">             @foreach($column as $c)</t>
  </si>
  <si>
    <t xml:space="preserve">                 &lt;td&gt;</t>
  </si>
  <si>
    <t xml:space="preserve">            &lt;/tr&gt;</t>
  </si>
  <si>
    <t xml:space="preserve">                     &lt;/div&gt;</t>
  </si>
  <si>
    <t>editable array</t>
  </si>
  <si>
    <t>$editable=array(</t>
  </si>
  <si>
    <t xml:space="preserve">    }</t>
  </si>
  <si>
    <t>-&gt;with('editable',$editable)</t>
  </si>
  <si>
    <t xml:space="preserve">                         {{$d-&gt;$c[0]}}</t>
  </si>
  <si>
    <t xml:space="preserve">                         &lt;input value='{{$d-&gt;$c[0]}}'   id='input_{{$c[0].'_'.$d-&gt;id}}'/&gt;</t>
  </si>
  <si>
    <t xml:space="preserve">                     &lt;div class='hide' id='edit_{{$c[0].'_'.$d-&gt;id}}'&gt;</t>
  </si>
  <si>
    <t xml:space="preserve">                     @endif</t>
  </si>
  <si>
    <t xml:space="preserve">                     @else</t>
  </si>
  <si>
    <t xml:space="preserve">                     @if($c[1]==1) </t>
  </si>
  <si>
    <t>THE JAVASCRIPT</t>
  </si>
  <si>
    <t>&lt;script&gt;</t>
  </si>
  <si>
    <t>`</t>
  </si>
  <si>
    <t>&lt;/script&gt;</t>
  </si>
  <si>
    <t>$(function () {</t>
  </si>
  <si>
    <t xml:space="preserve">    });</t>
  </si>
  <si>
    <t xml:space="preserve">        var id=$(this).attr('id');</t>
  </si>
  <si>
    <t xml:space="preserve">        id=id.replace('editable_','');</t>
  </si>
  <si>
    <t xml:space="preserve">       });</t>
  </si>
  <si>
    <t xml:space="preserve">            e.preventDefault();</t>
  </si>
  <si>
    <t xml:space="preserve">        $('#editable_'+id).click(function(e){</t>
  </si>
  <si>
    <t xml:space="preserve">            $('#editable_'+id).hide();</t>
  </si>
  <si>
    <t xml:space="preserve">            $('#edit_'+id).show();</t>
  </si>
  <si>
    <t xml:space="preserve">            $('#input_'+id).focus();</t>
  </si>
  <si>
    <t xml:space="preserve">            $('#input_'+id).val($('#editable_'+id).html().trim());</t>
  </si>
  <si>
    <t xml:space="preserve">        $('#input_'+id).blur(function(e){</t>
  </si>
  <si>
    <t xml:space="preserve">        });</t>
  </si>
  <si>
    <t xml:space="preserve">            var edited=$('#input_'+id).val().trim();</t>
  </si>
  <si>
    <t>Careful: "delete" option header here</t>
  </si>
  <si>
    <t xml:space="preserve">            var base=$('#base').html();</t>
  </si>
  <si>
    <t xml:space="preserve">            });</t>
  </si>
  <si>
    <t xml:space="preserve">                if(d==1) {</t>
  </si>
  <si>
    <t xml:space="preserve">                    $('#editable_'+id).html(edited);</t>
  </si>
  <si>
    <t xml:space="preserve">                    $('#editable_'+id).show();</t>
  </si>
  <si>
    <t xml:space="preserve">                    $('#edit_'+id).hide();</t>
  </si>
  <si>
    <t xml:space="preserve">                }</t>
  </si>
  <si>
    <t>$edited=$_POST['edited'];      $id=$_POST['id'];</t>
  </si>
  <si>
    <t>$data=</t>
  </si>
  <si>
    <t xml:space="preserve">CONTROLLER: </t>
  </si>
  <si>
    <t>CRUD v1</t>
  </si>
  <si>
    <t>Steps for CRUD actions</t>
  </si>
  <si>
    <t xml:space="preserve">There is always a similar pattern when performing CRUD actions.  The first version on this page contains this pattern </t>
  </si>
  <si>
    <t>in order to automate applying the DRY principle. Amen.</t>
  </si>
  <si>
    <t>1. There is always (and obviously) a database and a table.  So there should be a MODEL.</t>
  </si>
  <si>
    <t>2. Next actions depend on previous front ends</t>
  </si>
  <si>
    <t>C</t>
  </si>
  <si>
    <t>R</t>
  </si>
  <si>
    <t>U</t>
  </si>
  <si>
    <t>D</t>
  </si>
  <si>
    <t>Create -&gt;usually needs a form.</t>
  </si>
  <si>
    <t>Read -&gt; HTML table (all data) or divs (individual view)</t>
  </si>
  <si>
    <t>Update -&gt; usually a form or some action buttons, select lists, inline edit, etcetera</t>
  </si>
  <si>
    <t>Delete -&gt; action button and confirmatory link (or button as well).</t>
  </si>
  <si>
    <t>Needs in HTML</t>
  </si>
  <si>
    <t>Needs in javascript</t>
  </si>
  <si>
    <t>Read -&gt; No javascript code.  If inline edit HTML should go with a hidden tag div and input inside it.  JS is the same of update</t>
  </si>
  <si>
    <t>Delete -&gt; tag attribute containing the id of row to be deleted.</t>
  </si>
  <si>
    <t>Update -&gt; (AJAX)  Requires input ids to be edited and attribute with row id.  Using .trim() methodwill avoid unneeded empty spaces on registers.</t>
  </si>
  <si>
    <t>Create -&gt;from form: input tag names.  With AJAX: id, eg: $('#someid').val();  . Using .trim() methodwill avoid unneeded empty spaces on registers.</t>
  </si>
  <si>
    <t>Needs in controller</t>
  </si>
  <si>
    <t>Create -&gt;Retrieve data with $_POST['data'].  Create new model object, add attributes and save.</t>
  </si>
  <si>
    <t>Read -&gt; No action.  If inline edit HTML action is the same of update or delete.</t>
  </si>
  <si>
    <t>Update -&gt; Retrieve data with $_POST['data'].  Set array and then update.</t>
  </si>
  <si>
    <t>Delete -&gt; retrieve id of row to be deleted, usually with $_POST['id'].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</si>
  <si>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</si>
  <si>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</si>
  <si>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</si>
  <si>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</si>
  <si>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</si>
  <si>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</si>
  <si>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</si>
  <si>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</si>
  <si>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&lt;div  class="modal-header lead "&gt;</t>
  </si>
  <si>
    <t xml:space="preserve">    &lt;/div&gt;</t>
  </si>
  <si>
    <t xml:space="preserve">    {{--modal header--}}</t>
  </si>
  <si>
    <t xml:space="preserve">    {{--modal body--}}</t>
  </si>
  <si>
    <t xml:space="preserve">    &lt;div class="modal-body"&gt;</t>
  </si>
  <si>
    <t xml:space="preserve">        &lt;div class='span5'&gt;Use span5 classes without row to add data here&lt;/div&gt;</t>
  </si>
  <si>
    <t xml:space="preserve">        &lt;div class='span5'&gt;Or five span1 classes without row, as modals accept 5 span1 classes and its combinations&lt;/div&gt;</t>
  </si>
  <si>
    <t xml:space="preserve">        &lt;div class='span1'&gt;1&lt;/div&gt;</t>
  </si>
  <si>
    <t xml:space="preserve">        &lt;div class='span1'&gt;2&lt;/div&gt;</t>
  </si>
  <si>
    <t xml:space="preserve">        &lt;div class='span1'&gt;3&lt;/div&gt;</t>
  </si>
  <si>
    <t xml:space="preserve">        &lt;div class='span1'&gt;4&lt;/div&gt;</t>
  </si>
  <si>
    <t xml:space="preserve">        &lt;div class='span1'&gt;5&lt;/div&gt;</t>
  </si>
  <si>
    <t xml:space="preserve">    {{--modal footer--}}</t>
  </si>
  <si>
    <t xml:space="preserve">    &lt;div class="modal-footer"&gt;</t>
  </si>
  <si>
    <t xml:space="preserve">        Add footer content if desired</t>
  </si>
  <si>
    <t xml:space="preserve">        &lt;button class="btn" data-dismiss="modal" aria-hidden="true"&gt;Close&lt;/button&gt;</t>
  </si>
  <si>
    <t>MODAL FORM VERSION 1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</si>
  <si>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</si>
  <si>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</si>
  <si>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</si>
  <si>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</si>
  <si>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</si>
  <si>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</si>
  <si>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t3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</si>
  <si>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</si>
  <si>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</si>
  <si>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</si>
  <si>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</si>
  <si>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</si>
  <si>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</si>
  <si>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</si>
  <si>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</si>
  <si>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</si>
  <si>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</si>
  <si>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Prioritize this task</t>
  </si>
  <si>
    <t>base</t>
  </si>
  <si>
    <t>team</t>
  </si>
  <si>
    <t>Deprecated.  Just copy / paste edry content in new project</t>
  </si>
  <si>
    <t>projtemplates</t>
  </si>
  <si>
    <t>pages</t>
  </si>
  <si>
    <t>pagename</t>
  </si>
  <si>
    <t>pagedescription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</si>
  <si>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</si>
  <si>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</si>
  <si>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</si>
  <si>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</si>
  <si>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</si>
  <si>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</t>
  </si>
  <si>
    <t>View and controllers creation &gt;&gt;</t>
  </si>
  <si>
    <t>Copy / paste edry folder content in new project (windows view)</t>
  </si>
  <si>
    <t>Create new laravel project (all features)</t>
  </si>
  <si>
    <t xml:space="preserve">CREATING PROJECT FROM ZERO WITH ALL FEATURES - new project, views, controllers, database and tables - </t>
  </si>
  <si>
    <t>Tables and models</t>
  </si>
  <si>
    <t>Tables and models  &gt;&gt;</t>
  </si>
  <si>
    <t>AUTOMATED LARAVEL MAIL SENDER CONSTRUCTOR VERSION 2</t>
  </si>
  <si>
    <t>Mail sender constructor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</si>
  <si>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</si>
  <si>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</si>
  <si>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</si>
  <si>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</si>
  <si>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</si>
  <si>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</si>
  <si>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</si>
  <si>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resetpwd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</si>
  <si>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</si>
  <si>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</si>
  <si>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</si>
  <si>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</si>
  <si>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</si>
  <si>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</si>
  <si>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</si>
  <si>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</si>
  <si>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$mssgdata=array(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</si>
  <si>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</si>
  <si>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</si>
  <si>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</si>
  <si>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</si>
  <si>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</si>
  <si>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</si>
  <si>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</si>
  <si>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</si>
  <si>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>tmst_reset</t>
  </si>
  <si>
    <t>$link=</t>
  </si>
  <si>
    <t>$subject='Reset password request';</t>
  </si>
  <si>
    <t>$name='TaskingEasy user';</t>
  </si>
  <si>
    <t>$email=</t>
  </si>
  <si>
    <t>emailtester</t>
  </si>
  <si>
    <t xml:space="preserve">            -&gt;subject($maildata['subject']);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</si>
</sst>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14996795556505021"/>
      </left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7" fillId="5" borderId="0" xfId="0" applyFont="1" applyFill="1"/>
    <xf numFmtId="0" fontId="7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8" fillId="6" borderId="0" xfId="0" applyFont="1" applyFill="1"/>
    <xf numFmtId="0" fontId="8" fillId="6" borderId="0" xfId="0" quotePrefix="1" applyFont="1" applyFill="1"/>
    <xf numFmtId="0" fontId="9" fillId="4" borderId="0" xfId="0" applyFont="1" applyFill="1"/>
    <xf numFmtId="0" fontId="10" fillId="4" borderId="0" xfId="0" applyFont="1" applyFill="1"/>
    <xf numFmtId="0" fontId="7" fillId="7" borderId="0" xfId="0" applyFont="1" applyFill="1"/>
    <xf numFmtId="0" fontId="4" fillId="7" borderId="0" xfId="0" applyFont="1" applyFill="1"/>
    <xf numFmtId="0" fontId="10" fillId="4" borderId="0" xfId="0" quotePrefix="1" applyFont="1" applyFill="1"/>
    <xf numFmtId="0" fontId="7" fillId="4" borderId="0" xfId="0" quotePrefix="1" applyFont="1" applyFill="1"/>
    <xf numFmtId="0" fontId="12" fillId="4" borderId="0" xfId="0" applyFont="1" applyFill="1"/>
    <xf numFmtId="0" fontId="9" fillId="4" borderId="2" xfId="0" applyFont="1" applyFill="1" applyBorder="1"/>
    <xf numFmtId="0" fontId="7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7" fillId="6" borderId="0" xfId="0" applyFont="1" applyFill="1"/>
    <xf numFmtId="0" fontId="7" fillId="6" borderId="0" xfId="0" quotePrefix="1" applyFont="1" applyFill="1"/>
    <xf numFmtId="0" fontId="13" fillId="2" borderId="0" xfId="0" applyFont="1" applyFill="1"/>
    <xf numFmtId="0" fontId="6" fillId="2" borderId="0" xfId="0" applyFont="1" applyFill="1"/>
    <xf numFmtId="0" fontId="7" fillId="8" borderId="0" xfId="0" applyFont="1" applyFill="1"/>
    <xf numFmtId="0" fontId="14" fillId="9" borderId="0" xfId="0" applyFont="1" applyFill="1"/>
    <xf numFmtId="0" fontId="15" fillId="4" borderId="0" xfId="0" applyFont="1" applyFill="1"/>
    <xf numFmtId="0" fontId="10" fillId="2" borderId="0" xfId="0" applyFont="1" applyFill="1"/>
    <xf numFmtId="0" fontId="10" fillId="7" borderId="0" xfId="0" applyFont="1" applyFill="1"/>
    <xf numFmtId="0" fontId="16" fillId="2" borderId="0" xfId="0" applyFont="1" applyFill="1"/>
    <xf numFmtId="0" fontId="17" fillId="10" borderId="0" xfId="0" applyFont="1" applyFill="1"/>
    <xf numFmtId="0" fontId="18" fillId="10" borderId="0" xfId="0" applyFont="1" applyFill="1"/>
    <xf numFmtId="0" fontId="0" fillId="11" borderId="0" xfId="0" applyFill="1"/>
    <xf numFmtId="0" fontId="20" fillId="12" borderId="0" xfId="0" applyFont="1" applyFill="1"/>
    <xf numFmtId="0" fontId="18" fillId="12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4" borderId="17" xfId="0" quotePrefix="1" applyFont="1" applyFill="1" applyBorder="1"/>
    <xf numFmtId="0" fontId="7" fillId="4" borderId="17" xfId="0" applyFont="1" applyFill="1" applyBorder="1"/>
    <xf numFmtId="0" fontId="10" fillId="2" borderId="0" xfId="0" applyFont="1" applyFill="1" applyBorder="1"/>
    <xf numFmtId="0" fontId="10" fillId="2" borderId="18" xfId="0" applyFont="1" applyFill="1" applyBorder="1"/>
    <xf numFmtId="0" fontId="7" fillId="14" borderId="0" xfId="0" applyFont="1" applyFill="1"/>
    <xf numFmtId="0" fontId="6" fillId="15" borderId="0" xfId="0" applyFont="1" applyFill="1"/>
    <xf numFmtId="0" fontId="6" fillId="4" borderId="0" xfId="0" quotePrefix="1" applyFont="1" applyFill="1"/>
    <xf numFmtId="0" fontId="6" fillId="4" borderId="0" xfId="0" applyFont="1" applyFill="1" applyAlignment="1">
      <alignment horizontal="right"/>
    </xf>
    <xf numFmtId="0" fontId="7" fillId="16" borderId="0" xfId="0" applyFont="1" applyFill="1"/>
    <xf numFmtId="0" fontId="7" fillId="4" borderId="0" xfId="0" applyFont="1" applyFill="1" applyAlignment="1">
      <alignment horizontal="right"/>
    </xf>
    <xf numFmtId="0" fontId="10" fillId="16" borderId="0" xfId="0" applyFont="1" applyFill="1"/>
    <xf numFmtId="0" fontId="10" fillId="2" borderId="0" xfId="0" quotePrefix="1" applyFont="1" applyFill="1"/>
    <xf numFmtId="0" fontId="11" fillId="2" borderId="0" xfId="0" quotePrefix="1" applyFont="1" applyFill="1"/>
    <xf numFmtId="0" fontId="6" fillId="2" borderId="0" xfId="0" applyFont="1" applyFill="1" applyBorder="1"/>
    <xf numFmtId="0" fontId="10" fillId="5" borderId="0" xfId="0" applyFont="1" applyFill="1"/>
    <xf numFmtId="0" fontId="7" fillId="2" borderId="19" xfId="0" applyFont="1" applyFill="1" applyBorder="1"/>
    <xf numFmtId="0" fontId="6" fillId="2" borderId="19" xfId="0" applyFont="1" applyFill="1" applyBorder="1"/>
    <xf numFmtId="0" fontId="21" fillId="4" borderId="0" xfId="0" applyFont="1" applyFill="1"/>
    <xf numFmtId="0" fontId="18" fillId="2" borderId="0" xfId="0" applyFont="1" applyFill="1"/>
    <xf numFmtId="0" fontId="10" fillId="8" borderId="0" xfId="0" applyFont="1" applyFill="1"/>
    <xf numFmtId="0" fontId="22" fillId="4" borderId="0" xfId="0" applyFont="1" applyFill="1" applyAlignment="1">
      <alignment horizontal="right"/>
    </xf>
    <xf numFmtId="0" fontId="23" fillId="7" borderId="0" xfId="0" applyFont="1" applyFill="1"/>
    <xf numFmtId="0" fontId="19" fillId="10" borderId="0" xfId="1" applyFill="1"/>
    <xf numFmtId="0" fontId="7" fillId="4" borderId="0" xfId="0" applyFont="1" applyFill="1" applyBorder="1"/>
    <xf numFmtId="0" fontId="24" fillId="4" borderId="0" xfId="1" applyFont="1" applyFill="1"/>
    <xf numFmtId="0" fontId="25" fillId="4" borderId="0" xfId="1" applyFont="1" applyFill="1"/>
    <xf numFmtId="0" fontId="26" fillId="4" borderId="0" xfId="0" applyFont="1" applyFill="1"/>
    <xf numFmtId="0" fontId="6" fillId="17" borderId="0" xfId="0" applyFont="1" applyFill="1"/>
    <xf numFmtId="0" fontId="19" fillId="10" borderId="0" xfId="1" applyFill="1" applyAlignment="1"/>
    <xf numFmtId="0" fontId="0" fillId="0" borderId="0" xfId="0" applyAlignment="1"/>
    <xf numFmtId="0" fontId="19" fillId="0" borderId="0" xfId="1" applyAlignment="1"/>
    <xf numFmtId="0" fontId="7" fillId="8" borderId="0" xfId="0" applyFont="1" applyFill="1" applyAlignment="1"/>
    <xf numFmtId="0" fontId="6" fillId="18" borderId="0" xfId="0" applyFont="1" applyFill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00FF00"/>
      <color rgb="FF660066"/>
      <color rgb="FF00642D"/>
      <color rgb="FF660033"/>
      <color rgb="FF08233A"/>
      <color rgb="FF3B0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7</xdr:row>
      <xdr:rowOff>80392</xdr:rowOff>
    </xdr:from>
    <xdr:to>
      <xdr:col>9</xdr:col>
      <xdr:colOff>409575</xdr:colOff>
      <xdr:row>15</xdr:row>
      <xdr:rowOff>123825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381750" y="270892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7</xdr:row>
      <xdr:rowOff>38100</xdr:rowOff>
    </xdr:from>
    <xdr:to>
      <xdr:col>9</xdr:col>
      <xdr:colOff>742950</xdr:colOff>
      <xdr:row>15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715125" y="228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152400</xdr:colOff>
      <xdr:row>12</xdr:row>
      <xdr:rowOff>43433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410575" y="1905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10</xdr:col>
      <xdr:colOff>476250</xdr:colOff>
      <xdr:row>7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210425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B9" sqref="B9:D9"/>
    </sheetView>
  </sheetViews>
  <sheetFormatPr baseColWidth="10" defaultRowHeight="15" x14ac:dyDescent="0.25"/>
  <cols>
    <col min="1" max="1" width="11.42578125" style="50"/>
    <col min="2" max="5" width="11.7109375" style="50" customWidth="1"/>
    <col min="6" max="16384" width="11.42578125" style="50"/>
  </cols>
  <sheetData>
    <row r="3" spans="2:5" x14ac:dyDescent="0.25">
      <c r="B3" s="78" t="s">
        <v>592</v>
      </c>
    </row>
    <row r="4" spans="2:5" x14ac:dyDescent="0.25">
      <c r="B4" s="84" t="s">
        <v>597</v>
      </c>
      <c r="C4" s="85"/>
      <c r="D4" s="85"/>
    </row>
    <row r="5" spans="2:5" x14ac:dyDescent="0.25">
      <c r="B5" s="78" t="s">
        <v>602</v>
      </c>
    </row>
    <row r="6" spans="2:5" x14ac:dyDescent="0.25">
      <c r="B6" s="78"/>
    </row>
    <row r="7" spans="2:5" x14ac:dyDescent="0.25">
      <c r="B7" s="84" t="s">
        <v>600</v>
      </c>
      <c r="C7" s="84"/>
      <c r="D7" s="84"/>
      <c r="E7" s="85"/>
    </row>
    <row r="9" spans="2:5" x14ac:dyDescent="0.25">
      <c r="B9" s="84" t="s">
        <v>605</v>
      </c>
      <c r="C9" s="86"/>
      <c r="D9" s="86"/>
    </row>
  </sheetData>
  <mergeCells count="3">
    <mergeCell ref="B7:E7"/>
    <mergeCell ref="B9:D9"/>
    <mergeCell ref="B4:D4"/>
  </mergeCells>
  <hyperlinks>
    <hyperlink ref="B7:D7" location="'AutoLaravel v1'!C13" display="Create new laravel project"/>
    <hyperlink ref="B3" location="'Start project'!A1" display="Start a project"/>
    <hyperlink ref="B4" location="'view controllers'!A1" display="View and controllers creation"/>
    <hyperlink ref="B5" location="'tables and models'!A1" display="Tables and models"/>
    <hyperlink ref="B9:D9" location="'Laravel mail v1'!A1" display="Mail sender constructor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workbookViewId="0">
      <selection activeCell="C14" sqref="C14"/>
    </sheetView>
  </sheetViews>
  <sheetFormatPr baseColWidth="10" defaultRowHeight="15" x14ac:dyDescent="0.25"/>
  <cols>
    <col min="1" max="16384" width="11.42578125" style="10"/>
  </cols>
  <sheetData>
    <row r="2" spans="2:12" x14ac:dyDescent="0.25">
      <c r="B2" s="76" t="s">
        <v>274</v>
      </c>
      <c r="C2" s="75" t="s">
        <v>33</v>
      </c>
      <c r="E2" s="12" t="str">
        <f>LEFT(C2,LEN(C2)-1)</f>
        <v>prayer</v>
      </c>
      <c r="F2" s="12" t="str">
        <f>UPPER(LEFT(E2,1))&amp;RIGHT(E2,LEN(E2)-1)</f>
        <v>Prayer</v>
      </c>
    </row>
    <row r="4" spans="2:12" x14ac:dyDescent="0.25">
      <c r="C4" s="10" t="s">
        <v>571</v>
      </c>
      <c r="F4" s="10" t="s">
        <v>571</v>
      </c>
      <c r="I4" s="10" t="s">
        <v>572</v>
      </c>
      <c r="L4" s="10" t="s">
        <v>572</v>
      </c>
    </row>
    <row r="5" spans="2:12" x14ac:dyDescent="0.25">
      <c r="B5" s="10">
        <v>1</v>
      </c>
      <c r="C5" s="75" t="s">
        <v>574</v>
      </c>
      <c r="E5" s="10">
        <v>11</v>
      </c>
      <c r="F5" s="75"/>
      <c r="H5" s="10">
        <v>1</v>
      </c>
      <c r="I5" s="75" t="s">
        <v>428</v>
      </c>
      <c r="K5" s="10">
        <v>11</v>
      </c>
      <c r="L5" s="75"/>
    </row>
    <row r="6" spans="2:12" x14ac:dyDescent="0.25">
      <c r="B6" s="10">
        <v>2</v>
      </c>
      <c r="C6" s="75" t="s">
        <v>575</v>
      </c>
      <c r="E6" s="10">
        <v>12</v>
      </c>
      <c r="F6" s="75"/>
      <c r="H6" s="10">
        <v>2</v>
      </c>
      <c r="I6" s="75" t="s">
        <v>429</v>
      </c>
      <c r="K6" s="10">
        <v>12</v>
      </c>
      <c r="L6" s="75"/>
    </row>
    <row r="7" spans="2:12" x14ac:dyDescent="0.25">
      <c r="B7" s="10">
        <v>3</v>
      </c>
      <c r="C7" s="75" t="s">
        <v>576</v>
      </c>
      <c r="E7" s="10">
        <v>13</v>
      </c>
      <c r="F7" s="75"/>
      <c r="H7" s="10">
        <v>3</v>
      </c>
      <c r="I7" s="75" t="s">
        <v>432</v>
      </c>
      <c r="K7" s="10">
        <v>13</v>
      </c>
      <c r="L7" s="75"/>
    </row>
    <row r="8" spans="2:12" x14ac:dyDescent="0.25">
      <c r="B8" s="10">
        <v>4</v>
      </c>
      <c r="C8" s="75" t="s">
        <v>577</v>
      </c>
      <c r="E8" s="10">
        <v>14</v>
      </c>
      <c r="F8" s="75"/>
      <c r="H8" s="10">
        <v>4</v>
      </c>
      <c r="I8" s="75" t="s">
        <v>433</v>
      </c>
      <c r="K8" s="10">
        <v>14</v>
      </c>
      <c r="L8" s="75"/>
    </row>
    <row r="9" spans="2:12" x14ac:dyDescent="0.25">
      <c r="B9" s="10">
        <v>5</v>
      </c>
      <c r="C9" s="75" t="s">
        <v>578</v>
      </c>
      <c r="E9" s="10">
        <v>15</v>
      </c>
      <c r="F9" s="75"/>
      <c r="H9" s="10">
        <v>5</v>
      </c>
      <c r="I9" s="75" t="s">
        <v>434</v>
      </c>
      <c r="K9" s="10">
        <v>15</v>
      </c>
      <c r="L9" s="75"/>
    </row>
    <row r="10" spans="2:12" x14ac:dyDescent="0.25">
      <c r="B10" s="10">
        <v>6</v>
      </c>
      <c r="C10" s="75"/>
      <c r="E10" s="10">
        <v>16</v>
      </c>
      <c r="F10" s="75"/>
      <c r="H10" s="10">
        <v>6</v>
      </c>
      <c r="I10" s="75"/>
      <c r="K10" s="10">
        <v>16</v>
      </c>
      <c r="L10" s="75"/>
    </row>
    <row r="11" spans="2:12" x14ac:dyDescent="0.25">
      <c r="B11" s="10">
        <v>7</v>
      </c>
      <c r="C11" s="75"/>
      <c r="E11" s="10">
        <v>17</v>
      </c>
      <c r="F11" s="75"/>
      <c r="H11" s="10">
        <v>7</v>
      </c>
      <c r="I11" s="75"/>
      <c r="K11" s="10">
        <v>17</v>
      </c>
      <c r="L11" s="75"/>
    </row>
    <row r="12" spans="2:12" x14ac:dyDescent="0.25">
      <c r="B12" s="10">
        <v>8</v>
      </c>
      <c r="C12" s="75"/>
      <c r="E12" s="10">
        <v>18</v>
      </c>
      <c r="F12" s="75"/>
      <c r="H12" s="10">
        <v>8</v>
      </c>
      <c r="I12" s="75"/>
      <c r="K12" s="10">
        <v>18</v>
      </c>
      <c r="L12" s="75"/>
    </row>
    <row r="13" spans="2:12" x14ac:dyDescent="0.25">
      <c r="B13" s="10">
        <v>9</v>
      </c>
      <c r="C13" s="75"/>
      <c r="E13" s="10">
        <v>19</v>
      </c>
      <c r="F13" s="75"/>
      <c r="H13" s="10">
        <v>9</v>
      </c>
      <c r="I13" s="75"/>
      <c r="K13" s="10">
        <v>19</v>
      </c>
      <c r="L13" s="75"/>
    </row>
    <row r="14" spans="2:12" x14ac:dyDescent="0.25">
      <c r="B14" s="10">
        <v>10</v>
      </c>
      <c r="C14" s="75"/>
      <c r="E14" s="10">
        <v>20</v>
      </c>
      <c r="F14" s="75"/>
      <c r="H14" s="10">
        <v>10</v>
      </c>
      <c r="I14" s="75"/>
      <c r="K14" s="10">
        <v>20</v>
      </c>
      <c r="L14" s="75"/>
    </row>
    <row r="17" spans="2:12" x14ac:dyDescent="0.25">
      <c r="B17" s="10" t="s">
        <v>581</v>
      </c>
    </row>
    <row r="18" spans="2:12" x14ac:dyDescent="0.25">
      <c r="B18" s="2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2:12" x14ac:dyDescent="0.25">
      <c r="B19" s="2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2:12" x14ac:dyDescent="0.25">
      <c r="B20" s="2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2:12" x14ac:dyDescent="0.25">
      <c r="B21" s="2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2:12" x14ac:dyDescent="0.25">
      <c r="B22" s="23" t="s">
        <v>582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2:12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5" spans="2:12" x14ac:dyDescent="0.25">
      <c r="B25" s="10" t="s">
        <v>106</v>
      </c>
    </row>
    <row r="27" spans="2:12" x14ac:dyDescent="0.25">
      <c r="B27" s="10" t="s">
        <v>580</v>
      </c>
    </row>
    <row r="28" spans="2:12" x14ac:dyDescent="0.25">
      <c r="B28" s="2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25">
      <c r="B29" s="2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2:12" x14ac:dyDescent="0.25">
      <c r="B30" s="23" t="str">
        <f>IF(C13&lt;&gt;"","$"&amp;I13&amp;" = $_POST['"&amp;C13&amp;"'];","")&amp;IF(C14&lt;&gt;"","$"&amp;I14&amp;" = $_POST['"&amp;C14&amp;"'];","")</f>
        <v/>
      </c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2:12" x14ac:dyDescent="0.25">
      <c r="B31" s="10" t="s">
        <v>583</v>
      </c>
    </row>
    <row r="32" spans="2:12" x14ac:dyDescent="0.25">
      <c r="B32" s="2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2:12" x14ac:dyDescent="0.25">
      <c r="B33" s="2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2:12" x14ac:dyDescent="0.25">
      <c r="B34" s="23" t="str">
        <f>IF(F13&lt;&gt;"","$"&amp;I13&amp;" = $_POST['"&amp;F13&amp;"'];","")&amp;IF(F14&lt;&gt;"","$"&amp;I14&amp;" = $_POST['"&amp;F14&amp;"'];","")</f>
        <v/>
      </c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6" spans="2:12" x14ac:dyDescent="0.25">
      <c r="B36" s="10" t="s">
        <v>579</v>
      </c>
    </row>
    <row r="37" spans="2:12" x14ac:dyDescent="0.25">
      <c r="B37" s="2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2:12" x14ac:dyDescent="0.25">
      <c r="B38" s="2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2:12" x14ac:dyDescent="0.25">
      <c r="B39" s="23" t="str">
        <f>IF(I13&lt;&gt;"","    "&amp;IF(I12&lt;&gt;"columns",",","")&amp;"'"&amp;I13&amp;"'  =&gt;  $"&amp;I13,"")&amp;IF(I14&lt;&gt;"",IF(I13&lt;&gt;"columns",",","")&amp;"'"&amp;I14&amp;"'  =&gt;  $"&amp;I14,"")</f>
        <v/>
      </c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2:12" x14ac:dyDescent="0.25">
      <c r="B40" s="10" t="s">
        <v>583</v>
      </c>
    </row>
    <row r="41" spans="2:12" x14ac:dyDescent="0.25">
      <c r="B41" s="2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2:12" x14ac:dyDescent="0.25">
      <c r="B42" s="2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2:12" x14ac:dyDescent="0.25">
      <c r="B43" s="23" t="str">
        <f>IF(L13&lt;&gt;"","    "&amp;IF(L12&lt;&gt;"columns",",","")&amp;"'"&amp;L13&amp;"'  =&gt;  $"&amp;L13,"")&amp;IF(L14&lt;&gt;"",IF(L13&lt;&gt;"columns",",","")&amp;"'"&amp;L14&amp;"'  =&gt;  $"&amp;L14,"")</f>
        <v/>
      </c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2:12" x14ac:dyDescent="0.25">
      <c r="B44" s="10" t="s">
        <v>454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topLeftCell="A8" zoomScaleNormal="100" workbookViewId="0">
      <selection activeCell="K45" sqref="K45"/>
    </sheetView>
  </sheetViews>
  <sheetFormatPr baseColWidth="10" defaultRowHeight="15" x14ac:dyDescent="0.25"/>
  <cols>
    <col min="1" max="14" width="11.42578125" style="10"/>
    <col min="15" max="15" width="13.5703125" style="10" bestFit="1" customWidth="1"/>
    <col min="16" max="16" width="17.28515625" style="10" customWidth="1"/>
    <col min="17" max="17" width="11.85546875" style="10" bestFit="1" customWidth="1"/>
    <col min="18" max="16384" width="11.42578125" style="10"/>
  </cols>
  <sheetData>
    <row r="1" spans="1:8" s="39" customFormat="1" hidden="1" x14ac:dyDescent="0.25">
      <c r="A1" s="39" t="s">
        <v>350</v>
      </c>
      <c r="B1" s="39" t="str">
        <f>"').click(function() {"</f>
        <v>').click(function() {</v>
      </c>
      <c r="C1" s="39" t="s">
        <v>353</v>
      </c>
    </row>
    <row r="2" spans="1:8" s="39" customFormat="1" hidden="1" x14ac:dyDescent="0.25">
      <c r="A2" s="39" t="s">
        <v>267</v>
      </c>
      <c r="B2" s="39" t="s">
        <v>341</v>
      </c>
      <c r="C2" s="39" t="str">
        <f>"=$_POST['"</f>
        <v>=$_POST['</v>
      </c>
    </row>
    <row r="3" spans="1:8" s="39" customFormat="1" hidden="1" x14ac:dyDescent="0.25">
      <c r="A3" s="39" t="str">
        <f>"' &gt;"</f>
        <v>' &gt;</v>
      </c>
      <c r="B3" s="39" t="str">
        <f>"!='') {"</f>
        <v>!='') {</v>
      </c>
      <c r="C3" s="39" t="str">
        <f>"'];"</f>
        <v>'];</v>
      </c>
    </row>
    <row r="4" spans="1:8" s="39" customFormat="1" hidden="1" x14ac:dyDescent="0.25">
      <c r="A4" s="39" t="s">
        <v>351</v>
      </c>
      <c r="B4" s="39" t="s">
        <v>343</v>
      </c>
      <c r="C4" s="39" t="str">
        <f>"=new "</f>
        <v xml:space="preserve">=new </v>
      </c>
    </row>
    <row r="5" spans="1:8" s="39" customFormat="1" hidden="1" x14ac:dyDescent="0.25">
      <c r="A5" s="39" t="s">
        <v>271</v>
      </c>
      <c r="B5" s="39" t="str">
        <f>"' , {"</f>
        <v>' , {</v>
      </c>
      <c r="C5" s="39" t="str">
        <f>"-&gt;"</f>
        <v>-&gt;</v>
      </c>
    </row>
    <row r="6" spans="1:8" s="39" customFormat="1" hidden="1" x14ac:dyDescent="0.25">
      <c r="A6" s="39" t="str">
        <f>"' &gt;Add + &lt;/button&gt;"</f>
        <v>' &gt;Add + &lt;/button&gt;</v>
      </c>
      <c r="B6" s="39" t="s">
        <v>346</v>
      </c>
      <c r="C6" s="39" t="s">
        <v>356</v>
      </c>
    </row>
    <row r="7" spans="1:8" s="39" customFormat="1" hidden="1" x14ac:dyDescent="0.25">
      <c r="A7" s="39" t="s">
        <v>340</v>
      </c>
      <c r="B7" s="39" t="s">
        <v>352</v>
      </c>
      <c r="C7" s="39" t="s">
        <v>358</v>
      </c>
    </row>
    <row r="9" spans="1:8" x14ac:dyDescent="0.25">
      <c r="B9" s="15" t="s">
        <v>333</v>
      </c>
    </row>
    <row r="11" spans="1:8" x14ac:dyDescent="0.25">
      <c r="B11" s="10" t="s">
        <v>338</v>
      </c>
      <c r="C11" s="42" t="str">
        <f>'AutoLaravel v1'!D68</f>
        <v>pages</v>
      </c>
      <c r="D11" s="42"/>
      <c r="E11" s="12" t="str">
        <f>LEFT(C11,LEN(C11)-1)</f>
        <v>page</v>
      </c>
      <c r="F11" s="12" t="str">
        <f>UPPER(LEFT(E11,1))&amp;RIGHT(E11,LEN(E11)-1)</f>
        <v>Page</v>
      </c>
    </row>
    <row r="12" spans="1:8" x14ac:dyDescent="0.25">
      <c r="B12" s="10" t="s">
        <v>404</v>
      </c>
      <c r="C12" s="87" t="s">
        <v>406</v>
      </c>
      <c r="D12" s="85"/>
      <c r="E12" s="12"/>
      <c r="F12" s="12"/>
    </row>
    <row r="13" spans="1:8" x14ac:dyDescent="0.25">
      <c r="B13" s="10" t="s">
        <v>354</v>
      </c>
      <c r="C13" s="43" t="s">
        <v>355</v>
      </c>
      <c r="D13" s="43"/>
      <c r="E13" s="12"/>
      <c r="F13" s="12"/>
    </row>
    <row r="14" spans="1:8" x14ac:dyDescent="0.25">
      <c r="B14" s="65" t="s">
        <v>435</v>
      </c>
      <c r="C14" s="43"/>
      <c r="D14" s="43"/>
      <c r="E14" s="12"/>
      <c r="F14" s="12"/>
    </row>
    <row r="15" spans="1:8" x14ac:dyDescent="0.25">
      <c r="B15" s="10" t="s">
        <v>344</v>
      </c>
      <c r="C15" s="43" t="s">
        <v>345</v>
      </c>
      <c r="D15" s="43"/>
      <c r="E15" s="12"/>
      <c r="F15" s="12"/>
    </row>
    <row r="16" spans="1:8" x14ac:dyDescent="0.25">
      <c r="B16" s="10" t="s">
        <v>337</v>
      </c>
      <c r="C16" s="10" t="str">
        <f>A1&amp;E11</f>
        <v>addpage</v>
      </c>
      <c r="E16" s="12" t="str">
        <f>C16&amp;"s"</f>
        <v>addpages</v>
      </c>
      <c r="G16" s="12" t="str">
        <f>LEFT(E16,LEN(E16)-1)</f>
        <v>addpage</v>
      </c>
      <c r="H16" s="12" t="str">
        <f>UPPER(LEFT(G16,1))&amp;RIGHT(G16,LEN(G16)-1)</f>
        <v>Addpage</v>
      </c>
    </row>
    <row r="18" spans="2:16" x14ac:dyDescent="0.25">
      <c r="B18" s="10" t="s">
        <v>336</v>
      </c>
      <c r="D18" s="10" t="s">
        <v>418</v>
      </c>
    </row>
    <row r="19" spans="2:16" x14ac:dyDescent="0.25">
      <c r="B19" s="10" t="s">
        <v>334</v>
      </c>
    </row>
    <row r="20" spans="2:16" x14ac:dyDescent="0.25">
      <c r="B20" s="10" t="s">
        <v>335</v>
      </c>
    </row>
    <row r="21" spans="2:16" x14ac:dyDescent="0.25">
      <c r="D21" s="10" t="s">
        <v>419</v>
      </c>
    </row>
    <row r="22" spans="2:16" x14ac:dyDescent="0.25">
      <c r="D22" s="10" t="s">
        <v>420</v>
      </c>
    </row>
    <row r="23" spans="2:16" x14ac:dyDescent="0.25">
      <c r="D23" s="10" t="s">
        <v>421</v>
      </c>
    </row>
    <row r="25" spans="2:16" x14ac:dyDescent="0.25">
      <c r="B25" s="10" t="s">
        <v>273</v>
      </c>
      <c r="C25" s="10" t="s">
        <v>438</v>
      </c>
    </row>
    <row r="26" spans="2:16" x14ac:dyDescent="0.25">
      <c r="B26" s="10" t="s">
        <v>439</v>
      </c>
      <c r="C26" s="10" t="s">
        <v>440</v>
      </c>
    </row>
    <row r="27" spans="2:16" x14ac:dyDescent="0.25">
      <c r="B27" s="18" t="s">
        <v>114</v>
      </c>
      <c r="C27" s="17" t="s">
        <v>441</v>
      </c>
      <c r="D27" s="17"/>
      <c r="E27" s="17"/>
      <c r="F27" s="17"/>
      <c r="G27" s="17"/>
      <c r="H27" s="12"/>
    </row>
    <row r="29" spans="2:16" x14ac:dyDescent="0.25">
      <c r="B29" s="23" t="s">
        <v>468</v>
      </c>
      <c r="C29" s="43" t="s">
        <v>452</v>
      </c>
    </row>
    <row r="31" spans="2:16" x14ac:dyDescent="0.25">
      <c r="B31" s="10" t="s">
        <v>448</v>
      </c>
    </row>
    <row r="32" spans="2:16" x14ac:dyDescent="0.25">
      <c r="B32" s="10" t="s">
        <v>83</v>
      </c>
      <c r="C32" s="10" t="s">
        <v>449</v>
      </c>
      <c r="D32" s="10" t="s">
        <v>450</v>
      </c>
      <c r="E32" s="10" t="s">
        <v>462</v>
      </c>
      <c r="G32" s="10" t="s">
        <v>465</v>
      </c>
      <c r="H32" s="10" t="s">
        <v>449</v>
      </c>
      <c r="I32" s="10" t="s">
        <v>450</v>
      </c>
      <c r="J32" s="10" t="s">
        <v>462</v>
      </c>
      <c r="L32" s="12" t="s">
        <v>463</v>
      </c>
      <c r="N32" s="12" t="s">
        <v>464</v>
      </c>
      <c r="O32" s="12"/>
      <c r="P32" s="10" t="s">
        <v>478</v>
      </c>
    </row>
    <row r="33" spans="2:17" x14ac:dyDescent="0.25">
      <c r="B33" s="42" t="str">
        <f>IF('AutoLaravel v1'!C70&lt;&gt;"",'AutoLaravel v1'!C70,"")</f>
        <v>pagename</v>
      </c>
      <c r="C33" s="43"/>
      <c r="D33" s="43" t="s">
        <v>452</v>
      </c>
      <c r="E33" s="43" t="s">
        <v>436</v>
      </c>
      <c r="G33" s="42" t="str">
        <f>IF('AutoLaravel v1'!G70&lt;&gt;"",'AutoLaravel v1'!G70,"")</f>
        <v/>
      </c>
      <c r="H33" s="43"/>
      <c r="I33" s="43" t="s">
        <v>452</v>
      </c>
      <c r="J33" s="43"/>
      <c r="L33" s="42" t="str">
        <f t="shared" ref="L33:L42" si="0">IF(B33&lt;&gt;"",IF(B32&lt;&gt;"NAME",",","")&amp;"'"&amp;B33&amp;"'","")</f>
        <v>'pagename'</v>
      </c>
      <c r="M33" s="42" t="str">
        <f>IF(G33&lt;&gt;"",",'"&amp;G33&amp;"'","")</f>
        <v/>
      </c>
      <c r="N33" s="72" t="str">
        <f>IF(E33="",L33,IF(B32="NAME","",",")&amp;"'"&amp;E33&amp;"'")</f>
        <v>'prayer'</v>
      </c>
      <c r="O33" s="69" t="str">
        <f>IF(J33="",M33,",'"&amp;J33&amp;"'")</f>
        <v/>
      </c>
      <c r="P33" s="71" t="str">
        <f>IF(B33&lt;&gt;"",IF(B32="NAME","",",")&amp;"array('"&amp;B33&amp;"',"&amp;IF(D33="yes",1,0)&amp;")","")</f>
        <v>array('pagename',1)</v>
      </c>
      <c r="Q33" s="23" t="str">
        <f>IF(G33&lt;&gt;"",IF(G32="NAME","",",")&amp;"array('"&amp;G33&amp;"',"&amp;IF(I33="yes",1,0)&amp;")","")</f>
        <v/>
      </c>
    </row>
    <row r="34" spans="2:17" x14ac:dyDescent="0.25">
      <c r="B34" s="42" t="str">
        <f>IF('AutoLaravel v1'!C71&lt;&gt;"",'AutoLaravel v1'!C71,"")</f>
        <v>pagedescription</v>
      </c>
      <c r="C34" s="43"/>
      <c r="D34" s="43" t="s">
        <v>452</v>
      </c>
      <c r="E34" s="43" t="s">
        <v>94</v>
      </c>
      <c r="G34" s="42" t="str">
        <f>IF('AutoLaravel v1'!G71&lt;&gt;"",'AutoLaravel v1'!G71,"")</f>
        <v/>
      </c>
      <c r="H34" s="43"/>
      <c r="I34" s="43" t="s">
        <v>452</v>
      </c>
      <c r="J34" s="43"/>
      <c r="L34" s="42" t="str">
        <f t="shared" si="0"/>
        <v>,'pagedescription'</v>
      </c>
      <c r="M34" s="42" t="str">
        <f t="shared" ref="M34:M42" si="1">IF(G34&lt;&gt;"",",'"&amp;G34&amp;"'","")</f>
        <v/>
      </c>
      <c r="N34" s="72" t="str">
        <f t="shared" ref="N34:N42" si="2">IF(E34="",L34,IF(B33="NAME","",",")&amp;"'"&amp;E34&amp;"'")</f>
        <v>,'text'</v>
      </c>
      <c r="O34" s="69" t="str">
        <f t="shared" ref="O34:O42" si="3">IF(J34="",M34,",'"&amp;J34&amp;"'")</f>
        <v/>
      </c>
      <c r="P34" s="71" t="str">
        <f t="shared" ref="P34:P42" si="4">IF(B34&lt;&gt;"",IF(B33="NAME","",",")&amp;"array('"&amp;B34&amp;"',"&amp;IF(D34="yes",1,0)&amp;")","")</f>
        <v>,array('pagedescription',1)</v>
      </c>
      <c r="Q34" s="23" t="str">
        <f t="shared" ref="Q34:Q42" si="5">IF(G34&lt;&gt;"",IF(G33="NAME","",",")&amp;"array('"&amp;G34&amp;"',"&amp;IF(I34="yes",1,0)&amp;")","")</f>
        <v/>
      </c>
    </row>
    <row r="35" spans="2:17" x14ac:dyDescent="0.25">
      <c r="B35" s="42" t="str">
        <f>IF('AutoLaravel v1'!C72&lt;&gt;"",'AutoLaravel v1'!C72,"")</f>
        <v/>
      </c>
      <c r="C35" s="43"/>
      <c r="D35" s="43" t="s">
        <v>452</v>
      </c>
      <c r="E35" s="43"/>
      <c r="G35" s="42" t="str">
        <f>IF('AutoLaravel v1'!G72&lt;&gt;"",'AutoLaravel v1'!G72,"")</f>
        <v/>
      </c>
      <c r="H35" s="43"/>
      <c r="I35" s="43" t="s">
        <v>452</v>
      </c>
      <c r="J35" s="43"/>
      <c r="L35" s="42" t="str">
        <f t="shared" si="0"/>
        <v/>
      </c>
      <c r="M35" s="42" t="str">
        <f t="shared" si="1"/>
        <v/>
      </c>
      <c r="N35" s="72" t="str">
        <f t="shared" si="2"/>
        <v/>
      </c>
      <c r="O35" s="69" t="str">
        <f t="shared" si="3"/>
        <v/>
      </c>
      <c r="P35" s="71" t="str">
        <f t="shared" si="4"/>
        <v/>
      </c>
      <c r="Q35" s="23" t="str">
        <f t="shared" si="5"/>
        <v/>
      </c>
    </row>
    <row r="36" spans="2:17" x14ac:dyDescent="0.25">
      <c r="B36" s="42" t="str">
        <f>IF('AutoLaravel v1'!C73&lt;&gt;"",'AutoLaravel v1'!C73,"")</f>
        <v/>
      </c>
      <c r="C36" s="43"/>
      <c r="D36" s="43" t="s">
        <v>452</v>
      </c>
      <c r="E36" s="43"/>
      <c r="G36" s="42" t="str">
        <f>IF('AutoLaravel v1'!G73&lt;&gt;"",'AutoLaravel v1'!G73,"")</f>
        <v/>
      </c>
      <c r="H36" s="43"/>
      <c r="I36" s="43" t="s">
        <v>452</v>
      </c>
      <c r="J36" s="43"/>
      <c r="L36" s="42" t="str">
        <f t="shared" si="0"/>
        <v/>
      </c>
      <c r="M36" s="42" t="str">
        <f t="shared" si="1"/>
        <v/>
      </c>
      <c r="N36" s="72" t="str">
        <f t="shared" si="2"/>
        <v/>
      </c>
      <c r="O36" s="69" t="str">
        <f t="shared" si="3"/>
        <v/>
      </c>
      <c r="P36" s="71" t="str">
        <f t="shared" si="4"/>
        <v/>
      </c>
      <c r="Q36" s="23" t="str">
        <f t="shared" si="5"/>
        <v/>
      </c>
    </row>
    <row r="37" spans="2:17" x14ac:dyDescent="0.25">
      <c r="B37" s="42" t="str">
        <f>IF('AutoLaravel v1'!C74&lt;&gt;"",'AutoLaravel v1'!C74,"")</f>
        <v/>
      </c>
      <c r="C37" s="43"/>
      <c r="D37" s="43" t="s">
        <v>452</v>
      </c>
      <c r="E37" s="43"/>
      <c r="G37" s="42" t="str">
        <f>IF('AutoLaravel v1'!G74&lt;&gt;"",'AutoLaravel v1'!G74,"")</f>
        <v/>
      </c>
      <c r="H37" s="43"/>
      <c r="I37" s="43" t="s">
        <v>452</v>
      </c>
      <c r="J37" s="43"/>
      <c r="L37" s="42" t="str">
        <f t="shared" si="0"/>
        <v/>
      </c>
      <c r="M37" s="42" t="str">
        <f t="shared" si="1"/>
        <v/>
      </c>
      <c r="N37" s="72" t="str">
        <f t="shared" si="2"/>
        <v/>
      </c>
      <c r="O37" s="69" t="str">
        <f t="shared" si="3"/>
        <v/>
      </c>
      <c r="P37" s="71" t="str">
        <f t="shared" si="4"/>
        <v/>
      </c>
      <c r="Q37" s="23" t="str">
        <f t="shared" si="5"/>
        <v/>
      </c>
    </row>
    <row r="38" spans="2:17" x14ac:dyDescent="0.25">
      <c r="B38" s="42" t="str">
        <f>IF('AutoLaravel v1'!C75&lt;&gt;"",'AutoLaravel v1'!C75,"")</f>
        <v/>
      </c>
      <c r="C38" s="43"/>
      <c r="D38" s="43" t="s">
        <v>452</v>
      </c>
      <c r="E38" s="43"/>
      <c r="G38" s="42" t="str">
        <f>IF('AutoLaravel v1'!G75&lt;&gt;"",'AutoLaravel v1'!G75,"")</f>
        <v/>
      </c>
      <c r="H38" s="43"/>
      <c r="I38" s="43" t="s">
        <v>452</v>
      </c>
      <c r="J38" s="43"/>
      <c r="L38" s="42" t="str">
        <f t="shared" si="0"/>
        <v/>
      </c>
      <c r="M38" s="42" t="str">
        <f t="shared" si="1"/>
        <v/>
      </c>
      <c r="N38" s="72" t="str">
        <f t="shared" si="2"/>
        <v/>
      </c>
      <c r="O38" s="69" t="str">
        <f t="shared" si="3"/>
        <v/>
      </c>
      <c r="P38" s="71" t="str">
        <f t="shared" si="4"/>
        <v/>
      </c>
      <c r="Q38" s="23" t="str">
        <f t="shared" si="5"/>
        <v/>
      </c>
    </row>
    <row r="39" spans="2:17" x14ac:dyDescent="0.25">
      <c r="B39" s="42" t="str">
        <f>IF('AutoLaravel v1'!C76&lt;&gt;"",'AutoLaravel v1'!C76,"")</f>
        <v/>
      </c>
      <c r="C39" s="43"/>
      <c r="D39" s="43" t="s">
        <v>452</v>
      </c>
      <c r="E39" s="43"/>
      <c r="G39" s="42" t="str">
        <f>IF('AutoLaravel v1'!G76&lt;&gt;"",'AutoLaravel v1'!G76,"")</f>
        <v/>
      </c>
      <c r="H39" s="43"/>
      <c r="I39" s="43" t="s">
        <v>452</v>
      </c>
      <c r="J39" s="43"/>
      <c r="L39" s="42" t="str">
        <f t="shared" si="0"/>
        <v/>
      </c>
      <c r="M39" s="42" t="str">
        <f t="shared" si="1"/>
        <v/>
      </c>
      <c r="N39" s="72" t="str">
        <f t="shared" si="2"/>
        <v/>
      </c>
      <c r="O39" s="69" t="str">
        <f t="shared" si="3"/>
        <v/>
      </c>
      <c r="P39" s="71" t="str">
        <f t="shared" si="4"/>
        <v/>
      </c>
      <c r="Q39" s="23" t="str">
        <f t="shared" si="5"/>
        <v/>
      </c>
    </row>
    <row r="40" spans="2:17" x14ac:dyDescent="0.25">
      <c r="B40" s="42" t="str">
        <f>IF('AutoLaravel v1'!C77&lt;&gt;"",'AutoLaravel v1'!C77,"")</f>
        <v/>
      </c>
      <c r="C40" s="43"/>
      <c r="D40" s="43" t="s">
        <v>452</v>
      </c>
      <c r="E40" s="43"/>
      <c r="G40" s="42" t="str">
        <f>IF('AutoLaravel v1'!G77&lt;&gt;"",'AutoLaravel v1'!G77,"")</f>
        <v/>
      </c>
      <c r="H40" s="43"/>
      <c r="I40" s="43" t="s">
        <v>452</v>
      </c>
      <c r="J40" s="43"/>
      <c r="L40" s="42" t="str">
        <f t="shared" si="0"/>
        <v/>
      </c>
      <c r="M40" s="42" t="str">
        <f t="shared" si="1"/>
        <v/>
      </c>
      <c r="N40" s="72" t="str">
        <f t="shared" si="2"/>
        <v/>
      </c>
      <c r="O40" s="69" t="str">
        <f t="shared" si="3"/>
        <v/>
      </c>
      <c r="P40" s="71" t="str">
        <f t="shared" si="4"/>
        <v/>
      </c>
      <c r="Q40" s="23" t="str">
        <f t="shared" si="5"/>
        <v/>
      </c>
    </row>
    <row r="41" spans="2:17" x14ac:dyDescent="0.25">
      <c r="B41" s="42" t="str">
        <f>IF('AutoLaravel v1'!C78&lt;&gt;"",'AutoLaravel v1'!C78,"")</f>
        <v/>
      </c>
      <c r="C41" s="43"/>
      <c r="D41" s="43" t="s">
        <v>452</v>
      </c>
      <c r="E41" s="43"/>
      <c r="G41" s="42" t="str">
        <f>IF('AutoLaravel v1'!G78&lt;&gt;"",'AutoLaravel v1'!G78,"")</f>
        <v/>
      </c>
      <c r="H41" s="43"/>
      <c r="I41" s="43" t="s">
        <v>452</v>
      </c>
      <c r="J41" s="43"/>
      <c r="L41" s="42" t="str">
        <f t="shared" si="0"/>
        <v/>
      </c>
      <c r="M41" s="42" t="str">
        <f t="shared" si="1"/>
        <v/>
      </c>
      <c r="N41" s="72" t="str">
        <f t="shared" si="2"/>
        <v/>
      </c>
      <c r="O41" s="69" t="str">
        <f t="shared" si="3"/>
        <v/>
      </c>
      <c r="P41" s="71" t="str">
        <f t="shared" si="4"/>
        <v/>
      </c>
      <c r="Q41" s="23" t="str">
        <f t="shared" si="5"/>
        <v/>
      </c>
    </row>
    <row r="42" spans="2:17" x14ac:dyDescent="0.25">
      <c r="B42" s="42" t="str">
        <f>IF('AutoLaravel v1'!C79&lt;&gt;"",'AutoLaravel v1'!C79,"")</f>
        <v/>
      </c>
      <c r="C42" s="43"/>
      <c r="D42" s="43" t="s">
        <v>452</v>
      </c>
      <c r="E42" s="43"/>
      <c r="G42" s="42" t="str">
        <f>IF('AutoLaravel v1'!G79&lt;&gt;"",'AutoLaravel v1'!G79,"")</f>
        <v/>
      </c>
      <c r="H42" s="43"/>
      <c r="I42" s="43" t="s">
        <v>452</v>
      </c>
      <c r="J42" s="43"/>
      <c r="L42" s="42" t="str">
        <f t="shared" si="0"/>
        <v/>
      </c>
      <c r="M42" s="42" t="str">
        <f t="shared" si="1"/>
        <v/>
      </c>
      <c r="N42" s="72" t="str">
        <f t="shared" si="2"/>
        <v/>
      </c>
      <c r="O42" s="69" t="str">
        <f t="shared" si="3"/>
        <v/>
      </c>
      <c r="P42" s="71" t="str">
        <f t="shared" si="4"/>
        <v/>
      </c>
      <c r="Q42" s="23" t="str">
        <f t="shared" si="5"/>
        <v/>
      </c>
    </row>
    <row r="44" spans="2:17" x14ac:dyDescent="0.25">
      <c r="B44" s="10" t="s">
        <v>106</v>
      </c>
      <c r="C44" s="46" t="s">
        <v>443</v>
      </c>
      <c r="D44" s="23"/>
      <c r="E44" s="23"/>
      <c r="F44" s="23"/>
      <c r="G44" s="23"/>
      <c r="H44" s="23"/>
    </row>
    <row r="45" spans="2:17" x14ac:dyDescent="0.25">
      <c r="C45" s="46" t="s">
        <v>466</v>
      </c>
      <c r="D45" s="23"/>
      <c r="E45" s="23"/>
      <c r="F45" s="23"/>
      <c r="G45" s="23"/>
      <c r="H45" s="23"/>
    </row>
    <row r="46" spans="2:17" x14ac:dyDescent="0.25">
      <c r="C46" s="66" t="str">
        <f>P33&amp;P34&amp;P35&amp;P36&amp;P37</f>
        <v>array('pagename',1),array('pagedescription',1)</v>
      </c>
      <c r="D46" s="64"/>
      <c r="E46" s="64"/>
      <c r="F46" s="64"/>
      <c r="G46" s="64"/>
      <c r="H46" s="23"/>
    </row>
    <row r="47" spans="2:17" x14ac:dyDescent="0.25">
      <c r="C47" s="66" t="str">
        <f>P38&amp;P39&amp;P40&amp;P41&amp;P42</f>
        <v/>
      </c>
      <c r="D47" s="64"/>
      <c r="E47" s="64"/>
      <c r="F47" s="64"/>
      <c r="G47" s="64"/>
      <c r="H47" s="23"/>
    </row>
    <row r="48" spans="2:17" x14ac:dyDescent="0.25">
      <c r="C48" s="64" t="str">
        <f>Q33&amp;Q34&amp;Q35&amp;Q36&amp;Q37</f>
        <v/>
      </c>
      <c r="D48" s="64"/>
      <c r="E48" s="64"/>
      <c r="F48" s="64"/>
      <c r="G48" s="64"/>
      <c r="H48" s="23"/>
    </row>
    <row r="49" spans="3:8" x14ac:dyDescent="0.25">
      <c r="C49" s="66" t="str">
        <f>Q38&amp;Q39&amp;Q40&amp;Q41&amp;Q42</f>
        <v/>
      </c>
      <c r="D49" s="64"/>
      <c r="E49" s="64"/>
      <c r="F49" s="64"/>
      <c r="G49" s="64"/>
      <c r="H49" s="23"/>
    </row>
    <row r="50" spans="3:8" x14ac:dyDescent="0.25">
      <c r="C50" s="46" t="s">
        <v>454</v>
      </c>
      <c r="D50" s="23"/>
      <c r="E50" s="23"/>
      <c r="F50" s="23"/>
      <c r="G50" s="23"/>
      <c r="H50" s="23"/>
    </row>
    <row r="51" spans="3:8" x14ac:dyDescent="0.25">
      <c r="C51" s="46" t="s">
        <v>467</v>
      </c>
      <c r="D51" s="23"/>
      <c r="E51" s="23"/>
      <c r="F51" s="23"/>
      <c r="G51" s="23"/>
      <c r="H51" s="23"/>
    </row>
    <row r="52" spans="3:8" x14ac:dyDescent="0.25">
      <c r="C52" s="66" t="str">
        <f>N33&amp;N34&amp;N35&amp;N36&amp;N37</f>
        <v>'prayer','text'</v>
      </c>
      <c r="D52" s="64"/>
      <c r="E52" s="64"/>
      <c r="F52" s="64"/>
      <c r="G52" s="64"/>
      <c r="H52" s="23"/>
    </row>
    <row r="53" spans="3:8" x14ac:dyDescent="0.25">
      <c r="C53" s="66" t="str">
        <f>N38&amp;N39&amp;N40&amp;N41&amp;N42</f>
        <v/>
      </c>
      <c r="D53" s="64"/>
      <c r="E53" s="64"/>
      <c r="F53" s="64"/>
      <c r="G53" s="64"/>
      <c r="H53" s="23"/>
    </row>
    <row r="54" spans="3:8" x14ac:dyDescent="0.25">
      <c r="C54" s="66" t="str">
        <f>O33&amp;O34&amp;O35&amp;O36&amp;O37</f>
        <v/>
      </c>
      <c r="D54" s="64"/>
      <c r="E54" s="64"/>
      <c r="F54" s="64"/>
      <c r="G54" s="64"/>
      <c r="H54" s="23"/>
    </row>
    <row r="55" spans="3:8" x14ac:dyDescent="0.25">
      <c r="C55" s="66" t="str">
        <f>O38&amp;O39&amp;O40&amp;O41&amp;O42</f>
        <v/>
      </c>
      <c r="D55" s="64"/>
      <c r="E55" s="64"/>
      <c r="F55" s="64"/>
      <c r="G55" s="64"/>
      <c r="H55" s="23"/>
    </row>
    <row r="56" spans="3:8" x14ac:dyDescent="0.25">
      <c r="C56" s="46" t="s">
        <v>454</v>
      </c>
      <c r="D56" s="23"/>
      <c r="E56" s="23"/>
      <c r="F56" s="23"/>
      <c r="G56" s="23"/>
      <c r="H56" s="23"/>
    </row>
    <row r="57" spans="3:8" x14ac:dyDescent="0.25">
      <c r="C57" s="46" t="s">
        <v>479</v>
      </c>
      <c r="D57" s="23"/>
      <c r="E57" s="23"/>
      <c r="F57" s="23"/>
      <c r="G57" s="23"/>
      <c r="H57" s="23"/>
    </row>
    <row r="58" spans="3:8" x14ac:dyDescent="0.25">
      <c r="C58" s="66" t="str">
        <f>P33&amp;P34&amp;P35&amp;P36&amp;P37</f>
        <v>array('pagename',1),array('pagedescription',1)</v>
      </c>
      <c r="D58" s="64"/>
      <c r="E58" s="64"/>
      <c r="F58" s="64"/>
      <c r="G58" s="64"/>
      <c r="H58" s="23"/>
    </row>
    <row r="59" spans="3:8" x14ac:dyDescent="0.25">
      <c r="C59" s="66" t="str">
        <f>P38&amp;P39&amp;P40&amp;P41&amp;P42</f>
        <v/>
      </c>
      <c r="D59" s="64"/>
      <c r="E59" s="64"/>
      <c r="F59" s="64"/>
      <c r="G59" s="64"/>
      <c r="H59" s="23"/>
    </row>
    <row r="60" spans="3:8" x14ac:dyDescent="0.25">
      <c r="C60" s="66" t="str">
        <f>Q33&amp;Q34&amp;Q35&amp;Q36&amp;Q37</f>
        <v/>
      </c>
      <c r="D60" s="64"/>
      <c r="E60" s="64"/>
      <c r="F60" s="64"/>
      <c r="G60" s="64"/>
      <c r="H60" s="23"/>
    </row>
    <row r="61" spans="3:8" x14ac:dyDescent="0.25">
      <c r="C61" s="66" t="str">
        <f>Q38&amp;Q39&amp;Q40&amp;Q41&amp;Q42</f>
        <v/>
      </c>
      <c r="D61" s="64"/>
      <c r="E61" s="64"/>
      <c r="F61" s="64"/>
      <c r="G61" s="64"/>
      <c r="H61" s="23"/>
    </row>
    <row r="62" spans="3:8" x14ac:dyDescent="0.25">
      <c r="C62" s="46"/>
      <c r="D62" s="23"/>
      <c r="E62" s="23"/>
      <c r="F62" s="23"/>
      <c r="G62" s="23"/>
      <c r="H62" s="23"/>
    </row>
    <row r="63" spans="3:8" x14ac:dyDescent="0.25">
      <c r="C63" s="46" t="str">
        <f>"$data"&amp;"="&amp;F11&amp;"::orderBy('"&amp;C12&amp;"');"</f>
        <v>$data=Page::orderBy('id');</v>
      </c>
      <c r="D63" s="23"/>
      <c r="E63" s="23"/>
      <c r="F63" s="23"/>
      <c r="G63" s="23"/>
      <c r="H63" s="23"/>
    </row>
    <row r="64" spans="3:8" x14ac:dyDescent="0.25">
      <c r="C64" s="46" t="str">
        <f>"return View::make('"&amp;E11&amp;"/table')"</f>
        <v>return View::make('page/table')</v>
      </c>
      <c r="D64" s="23"/>
      <c r="E64" s="23"/>
      <c r="F64" s="23"/>
      <c r="G64" s="23"/>
      <c r="H64" s="23"/>
    </row>
    <row r="65" spans="2:8" x14ac:dyDescent="0.25">
      <c r="C65" s="67" t="s">
        <v>461</v>
      </c>
      <c r="D65" s="23"/>
      <c r="E65" s="23"/>
      <c r="F65" s="23"/>
      <c r="G65" s="23"/>
      <c r="H65" s="23"/>
    </row>
    <row r="66" spans="2:8" x14ac:dyDescent="0.25">
      <c r="C66" s="67" t="s">
        <v>455</v>
      </c>
      <c r="D66" s="23"/>
      <c r="E66" s="23"/>
      <c r="F66" s="23"/>
      <c r="G66" s="23"/>
      <c r="H66" s="23"/>
    </row>
    <row r="67" spans="2:8" x14ac:dyDescent="0.25">
      <c r="C67" s="67" t="s">
        <v>472</v>
      </c>
      <c r="D67" s="23"/>
      <c r="E67" s="23"/>
      <c r="F67" s="23"/>
      <c r="G67" s="23"/>
      <c r="H67" s="23"/>
    </row>
    <row r="68" spans="2:8" x14ac:dyDescent="0.25">
      <c r="C68" s="67" t="s">
        <v>481</v>
      </c>
      <c r="D68" s="23"/>
      <c r="E68" s="23"/>
      <c r="F68" s="23"/>
      <c r="G68" s="23"/>
      <c r="H68" s="23"/>
    </row>
    <row r="69" spans="2:8" x14ac:dyDescent="0.25">
      <c r="C69" s="67" t="str">
        <f>"-&gt;with('title','"&amp;C11&amp;"');"</f>
        <v>-&gt;with('title','pages');</v>
      </c>
      <c r="D69" s="23"/>
      <c r="E69" s="23"/>
      <c r="F69" s="23"/>
      <c r="G69" s="23"/>
      <c r="H69" s="23"/>
    </row>
    <row r="70" spans="2:8" x14ac:dyDescent="0.25">
      <c r="C70" s="46" t="s">
        <v>39</v>
      </c>
      <c r="D70" s="23"/>
      <c r="E70" s="23"/>
      <c r="F70" s="23"/>
      <c r="G70" s="23"/>
      <c r="H70" s="23"/>
    </row>
    <row r="72" spans="2:8" x14ac:dyDescent="0.25">
      <c r="B72" s="10" t="s">
        <v>437</v>
      </c>
    </row>
    <row r="73" spans="2:8" x14ac:dyDescent="0.25">
      <c r="B73" s="67" t="s">
        <v>384</v>
      </c>
      <c r="C73" s="23"/>
      <c r="D73" s="23"/>
      <c r="E73" s="23"/>
      <c r="F73" s="23"/>
      <c r="G73" s="23"/>
      <c r="H73" s="23"/>
    </row>
    <row r="74" spans="2:8" x14ac:dyDescent="0.25">
      <c r="B74" s="68" t="s">
        <v>423</v>
      </c>
      <c r="C74" s="23"/>
      <c r="D74" s="23"/>
      <c r="E74" s="23"/>
      <c r="F74" s="23"/>
      <c r="G74" s="23"/>
      <c r="H74" s="23"/>
    </row>
    <row r="75" spans="2:8" x14ac:dyDescent="0.25">
      <c r="B75" s="68" t="s">
        <v>424</v>
      </c>
      <c r="C75" s="23"/>
      <c r="D75" s="23"/>
      <c r="E75" s="23"/>
      <c r="F75" s="23"/>
      <c r="G75" s="23"/>
      <c r="H75" s="23"/>
    </row>
    <row r="76" spans="2:8" x14ac:dyDescent="0.25">
      <c r="B76" s="67" t="s">
        <v>425</v>
      </c>
      <c r="C76" s="23"/>
      <c r="D76" s="23"/>
      <c r="E76" s="23"/>
      <c r="F76" s="23"/>
      <c r="G76" s="23"/>
      <c r="H76" s="23"/>
    </row>
    <row r="77" spans="2:8" x14ac:dyDescent="0.25">
      <c r="B77" s="46" t="s">
        <v>444</v>
      </c>
      <c r="C77" s="23"/>
      <c r="D77" s="23"/>
      <c r="E77" s="23"/>
      <c r="F77" s="23"/>
      <c r="G77" s="23"/>
      <c r="H77" s="23"/>
    </row>
    <row r="78" spans="2:8" x14ac:dyDescent="0.25">
      <c r="B78" s="46" t="s">
        <v>447</v>
      </c>
      <c r="C78" s="23"/>
      <c r="D78" s="23"/>
      <c r="E78" s="23"/>
      <c r="F78" s="23"/>
      <c r="G78" s="23"/>
      <c r="H78" s="23"/>
    </row>
    <row r="79" spans="2:8" x14ac:dyDescent="0.25">
      <c r="B79" s="46" t="s">
        <v>457</v>
      </c>
      <c r="C79" s="23"/>
      <c r="D79" s="23"/>
      <c r="E79" s="23"/>
      <c r="F79" s="23"/>
      <c r="G79" s="23"/>
      <c r="H79" s="23"/>
    </row>
    <row r="80" spans="2:8" x14ac:dyDescent="0.25">
      <c r="B80" s="46" t="s">
        <v>460</v>
      </c>
      <c r="C80" s="23"/>
      <c r="D80" s="23"/>
      <c r="E80" s="23"/>
      <c r="F80" s="23"/>
      <c r="G80" s="23"/>
      <c r="H80" s="23"/>
    </row>
    <row r="81" spans="2:8" x14ac:dyDescent="0.25">
      <c r="B81" s="46" t="s">
        <v>456</v>
      </c>
      <c r="C81" s="23"/>
      <c r="D81" s="23"/>
      <c r="E81" s="23"/>
      <c r="F81" s="23"/>
      <c r="G81" s="23"/>
      <c r="H81" s="23"/>
    </row>
    <row r="82" spans="2:8" x14ac:dyDescent="0.25">
      <c r="B82" s="70" t="str">
        <f>IF(C29="yes","        &lt;th&gt;Delete&lt;/th&gt;","")</f>
        <v xml:space="preserve">        &lt;th&gt;Delete&lt;/th&gt;</v>
      </c>
      <c r="C82" s="9"/>
      <c r="D82" s="9"/>
      <c r="E82" s="9"/>
      <c r="F82" s="9" t="s">
        <v>469</v>
      </c>
      <c r="G82" s="9"/>
      <c r="H82" s="9"/>
    </row>
    <row r="83" spans="2:8" x14ac:dyDescent="0.25">
      <c r="B83" s="46" t="s">
        <v>446</v>
      </c>
      <c r="C83" s="23"/>
      <c r="D83" s="23"/>
      <c r="E83" s="23"/>
      <c r="F83" s="23"/>
      <c r="G83" s="23"/>
      <c r="H83" s="23"/>
    </row>
    <row r="84" spans="2:8" x14ac:dyDescent="0.25">
      <c r="B84" s="46" t="s">
        <v>473</v>
      </c>
      <c r="C84" s="23"/>
      <c r="D84" s="23"/>
      <c r="E84" s="23"/>
      <c r="F84" s="23"/>
      <c r="G84" s="23"/>
      <c r="H84" s="23"/>
    </row>
    <row r="85" spans="2:8" x14ac:dyDescent="0.25">
      <c r="B85" s="46" t="s">
        <v>459</v>
      </c>
      <c r="C85" s="23"/>
      <c r="D85" s="23"/>
      <c r="E85" s="23"/>
      <c r="F85" s="23"/>
      <c r="G85" s="23"/>
      <c r="H85" s="23"/>
    </row>
    <row r="86" spans="2:8" x14ac:dyDescent="0.25">
      <c r="B86" s="46" t="s">
        <v>474</v>
      </c>
      <c r="C86" s="23"/>
      <c r="D86" s="23"/>
      <c r="E86" s="23"/>
      <c r="F86" s="23"/>
      <c r="G86" s="23"/>
      <c r="H86" s="23"/>
    </row>
    <row r="87" spans="2:8" x14ac:dyDescent="0.25">
      <c r="B87" s="46" t="s">
        <v>475</v>
      </c>
      <c r="C87" s="23"/>
      <c r="D87" s="23"/>
      <c r="E87" s="23"/>
      <c r="F87" s="23"/>
      <c r="G87" s="23"/>
      <c r="H87" s="23"/>
    </row>
    <row r="88" spans="2:8" x14ac:dyDescent="0.25">
      <c r="B88" s="46" t="s">
        <v>487</v>
      </c>
      <c r="C88" s="23"/>
      <c r="D88" s="23"/>
      <c r="E88" s="23"/>
      <c r="F88" s="23"/>
      <c r="G88" s="23"/>
      <c r="H88" s="23"/>
    </row>
    <row r="89" spans="2:8" x14ac:dyDescent="0.25">
      <c r="B89" s="46" t="str">
        <f>"                     &lt;a class='editable_"&amp;E11&amp;"' href='#' id='editable_{{$c[0].'_'.$d-&gt;id}}'&gt;"</f>
        <v xml:space="preserve">                     &lt;a class='editable_page' href='#' id='editable_{{$c[0].'_'.$d-&gt;id}}'&gt;</v>
      </c>
      <c r="C89" s="23"/>
      <c r="D89" s="23"/>
      <c r="E89" s="23"/>
      <c r="F89" s="23"/>
      <c r="G89" s="23"/>
      <c r="H89" s="23"/>
    </row>
    <row r="90" spans="2:8" x14ac:dyDescent="0.25">
      <c r="B90" s="46" t="s">
        <v>482</v>
      </c>
      <c r="C90" s="23"/>
      <c r="D90" s="23"/>
      <c r="E90" s="23"/>
      <c r="F90" s="23"/>
      <c r="G90" s="23"/>
      <c r="H90" s="23"/>
    </row>
    <row r="91" spans="2:8" x14ac:dyDescent="0.25">
      <c r="B91" s="46" t="s">
        <v>471</v>
      </c>
      <c r="C91" s="23"/>
      <c r="D91" s="23"/>
      <c r="E91" s="23"/>
      <c r="F91" s="23"/>
      <c r="G91" s="23"/>
      <c r="H91" s="23"/>
    </row>
    <row r="92" spans="2:8" x14ac:dyDescent="0.25">
      <c r="B92" s="46" t="s">
        <v>484</v>
      </c>
      <c r="C92" s="23"/>
      <c r="D92" s="23"/>
      <c r="E92" s="23"/>
      <c r="F92" s="23"/>
      <c r="G92" s="23"/>
      <c r="H92" s="23"/>
    </row>
    <row r="93" spans="2:8" x14ac:dyDescent="0.25">
      <c r="B93" s="46" t="s">
        <v>483</v>
      </c>
      <c r="C93" s="23"/>
      <c r="D93" s="23"/>
      <c r="E93" s="23"/>
      <c r="F93" s="23"/>
      <c r="G93" s="23"/>
      <c r="H93" s="23"/>
    </row>
    <row r="94" spans="2:8" x14ac:dyDescent="0.25">
      <c r="B94" s="46" t="s">
        <v>477</v>
      </c>
      <c r="C94" s="23"/>
      <c r="D94" s="23"/>
      <c r="E94" s="23"/>
      <c r="F94" s="23"/>
      <c r="G94" s="23"/>
      <c r="H94" s="23"/>
    </row>
    <row r="95" spans="2:8" x14ac:dyDescent="0.25">
      <c r="B95" s="46" t="s">
        <v>486</v>
      </c>
      <c r="C95" s="23"/>
      <c r="D95" s="23"/>
      <c r="E95" s="23"/>
      <c r="F95" s="23"/>
      <c r="G95" s="23"/>
      <c r="H95" s="23"/>
    </row>
    <row r="96" spans="2:8" x14ac:dyDescent="0.25">
      <c r="B96" s="46" t="s">
        <v>482</v>
      </c>
      <c r="C96" s="23"/>
      <c r="D96" s="23"/>
      <c r="E96" s="23"/>
      <c r="F96" s="23"/>
      <c r="G96" s="23"/>
      <c r="H96" s="23"/>
    </row>
    <row r="97" spans="1:8" x14ac:dyDescent="0.25">
      <c r="B97" s="46" t="s">
        <v>485</v>
      </c>
      <c r="C97" s="23"/>
      <c r="D97" s="23"/>
      <c r="E97" s="23"/>
      <c r="F97" s="23"/>
      <c r="G97" s="23"/>
      <c r="H97" s="23"/>
    </row>
    <row r="98" spans="1:8" x14ac:dyDescent="0.25">
      <c r="B98" s="46" t="s">
        <v>470</v>
      </c>
      <c r="C98" s="23"/>
      <c r="D98" s="23"/>
      <c r="E98" s="23"/>
      <c r="F98" s="23"/>
      <c r="G98" s="23"/>
      <c r="H98" s="23"/>
    </row>
    <row r="99" spans="1:8" x14ac:dyDescent="0.25">
      <c r="B99" s="46" t="s">
        <v>456</v>
      </c>
      <c r="C99" s="23"/>
      <c r="D99" s="23"/>
      <c r="E99" s="23"/>
      <c r="F99" s="23"/>
      <c r="G99" s="23"/>
      <c r="H99" s="23"/>
    </row>
    <row r="100" spans="1:8" x14ac:dyDescent="0.25">
      <c r="B100" s="70" t="str">
        <f>IF(C29="yes","            &lt;td&gt;Delete&lt;/td&gt;","")</f>
        <v xml:space="preserve">            &lt;td&gt;Delete&lt;/td&gt;</v>
      </c>
      <c r="C100" s="9"/>
      <c r="D100" s="9"/>
      <c r="E100" s="9"/>
      <c r="F100" s="9" t="s">
        <v>506</v>
      </c>
      <c r="G100" s="9"/>
      <c r="H100" s="9"/>
    </row>
    <row r="101" spans="1:8" x14ac:dyDescent="0.25">
      <c r="B101" s="46"/>
      <c r="C101" s="23"/>
      <c r="D101" s="23"/>
      <c r="E101" s="23"/>
      <c r="F101" s="23"/>
      <c r="G101" s="23"/>
      <c r="H101" s="23"/>
    </row>
    <row r="102" spans="1:8" x14ac:dyDescent="0.25">
      <c r="B102" s="46" t="s">
        <v>476</v>
      </c>
      <c r="C102" s="23"/>
      <c r="D102" s="23"/>
      <c r="E102" s="23"/>
      <c r="F102" s="23"/>
      <c r="G102" s="23"/>
      <c r="H102" s="23"/>
    </row>
    <row r="103" spans="1:8" x14ac:dyDescent="0.25">
      <c r="B103" s="46" t="s">
        <v>458</v>
      </c>
      <c r="C103" s="23"/>
      <c r="D103" s="23"/>
      <c r="E103" s="23"/>
      <c r="F103" s="23"/>
      <c r="G103" s="23"/>
      <c r="H103" s="23"/>
    </row>
    <row r="104" spans="1:8" x14ac:dyDescent="0.25">
      <c r="B104" s="46" t="s">
        <v>445</v>
      </c>
      <c r="C104" s="23"/>
      <c r="D104" s="23"/>
      <c r="E104" s="23"/>
      <c r="F104" s="23"/>
      <c r="G104" s="23"/>
      <c r="H104" s="23"/>
    </row>
    <row r="105" spans="1:8" x14ac:dyDescent="0.25">
      <c r="B105" s="67" t="s">
        <v>424</v>
      </c>
      <c r="C105" s="23"/>
      <c r="D105" s="23"/>
      <c r="E105" s="23"/>
      <c r="F105" s="23"/>
      <c r="G105" s="23"/>
      <c r="H105" s="23"/>
    </row>
    <row r="107" spans="1:8" x14ac:dyDescent="0.25">
      <c r="A107" s="10" t="s">
        <v>490</v>
      </c>
    </row>
    <row r="108" spans="1:8" x14ac:dyDescent="0.25">
      <c r="B108" s="10" t="s">
        <v>488</v>
      </c>
    </row>
    <row r="109" spans="1:8" x14ac:dyDescent="0.25">
      <c r="B109" s="46" t="s">
        <v>489</v>
      </c>
      <c r="C109" s="23"/>
      <c r="D109" s="23"/>
      <c r="E109" s="23"/>
      <c r="F109" s="23"/>
      <c r="G109" s="23"/>
      <c r="H109" s="23"/>
    </row>
    <row r="110" spans="1:8" x14ac:dyDescent="0.25">
      <c r="B110" s="46" t="s">
        <v>492</v>
      </c>
      <c r="C110" s="23"/>
      <c r="D110" s="23"/>
      <c r="E110" s="23"/>
      <c r="F110" s="23"/>
      <c r="G110" s="23"/>
      <c r="H110" s="23"/>
    </row>
    <row r="111" spans="1:8" x14ac:dyDescent="0.25">
      <c r="B111" s="46" t="str">
        <f>"    $('.editable_"&amp;E11&amp;"').each(function(){"</f>
        <v xml:space="preserve">    $('.editable_page').each(function(){</v>
      </c>
      <c r="C111" s="23"/>
      <c r="D111" s="23"/>
      <c r="E111" s="23"/>
      <c r="F111" s="23"/>
      <c r="G111" s="23"/>
      <c r="H111" s="23"/>
    </row>
    <row r="112" spans="1:8" x14ac:dyDescent="0.25">
      <c r="B112" s="46" t="s">
        <v>494</v>
      </c>
      <c r="C112" s="23"/>
      <c r="D112" s="23"/>
      <c r="E112" s="23"/>
      <c r="F112" s="23"/>
      <c r="G112" s="23"/>
      <c r="H112" s="23"/>
    </row>
    <row r="113" spans="2:8" x14ac:dyDescent="0.25">
      <c r="B113" s="46" t="s">
        <v>495</v>
      </c>
      <c r="C113" s="23"/>
      <c r="D113" s="23"/>
      <c r="E113" s="23"/>
      <c r="F113" s="23"/>
      <c r="G113" s="23"/>
      <c r="H113" s="23"/>
    </row>
    <row r="114" spans="2:8" x14ac:dyDescent="0.25">
      <c r="B114" s="46" t="str">
        <f>"        inline_edit_"&amp;E11&amp;"(id);"</f>
        <v xml:space="preserve">        inline_edit_page(id);</v>
      </c>
      <c r="C114" s="23"/>
      <c r="D114" s="23"/>
      <c r="E114" s="23"/>
      <c r="F114" s="23"/>
      <c r="G114" s="23"/>
      <c r="H114" s="23"/>
    </row>
    <row r="115" spans="2:8" x14ac:dyDescent="0.25">
      <c r="B115" s="46" t="str">
        <f>"        confirm_edit_"&amp;E11&amp;"(id);"</f>
        <v xml:space="preserve">        confirm_edit_page(id);</v>
      </c>
      <c r="C115" s="23"/>
      <c r="D115" s="23"/>
      <c r="E115" s="23"/>
      <c r="F115" s="23"/>
      <c r="G115" s="23"/>
      <c r="H115" s="23"/>
    </row>
    <row r="116" spans="2:8" x14ac:dyDescent="0.25">
      <c r="B116" s="46" t="s">
        <v>493</v>
      </c>
      <c r="C116" s="23"/>
      <c r="D116" s="23"/>
      <c r="E116" s="23"/>
      <c r="F116" s="23"/>
      <c r="G116" s="23"/>
      <c r="H116" s="23"/>
    </row>
    <row r="117" spans="2:8" x14ac:dyDescent="0.25">
      <c r="B117" s="46"/>
      <c r="C117" s="23"/>
      <c r="D117" s="23"/>
      <c r="E117" s="23"/>
      <c r="F117" s="23"/>
      <c r="G117" s="23"/>
      <c r="H117" s="23"/>
    </row>
    <row r="118" spans="2:8" x14ac:dyDescent="0.25">
      <c r="B118" s="46" t="str">
        <f>"    function inline_edit_"&amp;E11&amp;"(id) {"</f>
        <v xml:space="preserve">    function inline_edit_page(id) {</v>
      </c>
      <c r="C118" s="23"/>
      <c r="D118" s="23"/>
      <c r="E118" s="23"/>
      <c r="F118" s="23"/>
      <c r="G118" s="23"/>
      <c r="H118" s="23"/>
    </row>
    <row r="119" spans="2:8" x14ac:dyDescent="0.25">
      <c r="B119" s="46" t="s">
        <v>498</v>
      </c>
      <c r="C119" s="23"/>
      <c r="D119" s="23"/>
      <c r="E119" s="23"/>
      <c r="F119" s="23"/>
      <c r="G119" s="23"/>
      <c r="H119" s="23"/>
    </row>
    <row r="120" spans="2:8" x14ac:dyDescent="0.25">
      <c r="B120" s="46" t="s">
        <v>497</v>
      </c>
      <c r="C120" s="23"/>
      <c r="D120" s="23"/>
      <c r="E120" s="23"/>
      <c r="F120" s="23"/>
      <c r="G120" s="23"/>
      <c r="H120" s="23"/>
    </row>
    <row r="121" spans="2:8" x14ac:dyDescent="0.25">
      <c r="B121" s="46" t="s">
        <v>499</v>
      </c>
      <c r="C121" s="23"/>
      <c r="D121" s="23"/>
      <c r="E121" s="23"/>
      <c r="F121" s="23"/>
      <c r="G121" s="23"/>
      <c r="H121" s="23"/>
    </row>
    <row r="122" spans="2:8" x14ac:dyDescent="0.25">
      <c r="B122" s="46" t="s">
        <v>500</v>
      </c>
      <c r="C122" s="23"/>
      <c r="D122" s="23"/>
      <c r="E122" s="23"/>
      <c r="F122" s="23"/>
      <c r="G122" s="23"/>
      <c r="H122" s="23"/>
    </row>
    <row r="123" spans="2:8" x14ac:dyDescent="0.25">
      <c r="B123" s="46" t="s">
        <v>502</v>
      </c>
      <c r="C123" s="23"/>
      <c r="D123" s="23"/>
      <c r="E123" s="23"/>
      <c r="F123" s="23"/>
      <c r="G123" s="23"/>
      <c r="H123" s="23"/>
    </row>
    <row r="124" spans="2:8" x14ac:dyDescent="0.25">
      <c r="B124" s="46" t="s">
        <v>501</v>
      </c>
      <c r="C124" s="23"/>
      <c r="D124" s="23"/>
      <c r="E124" s="23"/>
      <c r="F124" s="23"/>
      <c r="G124" s="23"/>
      <c r="H124" s="23"/>
    </row>
    <row r="125" spans="2:8" x14ac:dyDescent="0.25">
      <c r="B125" s="46" t="s">
        <v>496</v>
      </c>
      <c r="C125" s="23"/>
      <c r="D125" s="23"/>
      <c r="E125" s="23"/>
      <c r="F125" s="23"/>
      <c r="G125" s="23"/>
      <c r="H125" s="23"/>
    </row>
    <row r="126" spans="2:8" x14ac:dyDescent="0.25">
      <c r="B126" s="46" t="s">
        <v>480</v>
      </c>
      <c r="C126" s="23"/>
      <c r="D126" s="23"/>
      <c r="E126" s="23"/>
      <c r="F126" s="23"/>
      <c r="G126" s="23"/>
      <c r="H126" s="23"/>
    </row>
    <row r="127" spans="2:8" x14ac:dyDescent="0.25">
      <c r="B127" s="46" t="str">
        <f>"    function confirm_edit_"&amp;E11&amp;"(id) {"</f>
        <v xml:space="preserve">    function confirm_edit_page(id) {</v>
      </c>
      <c r="C127" s="23"/>
      <c r="D127" s="23"/>
      <c r="E127" s="23"/>
      <c r="F127" s="23"/>
      <c r="G127" s="23"/>
      <c r="H127" s="23"/>
    </row>
    <row r="128" spans="2:8" x14ac:dyDescent="0.25">
      <c r="B128" s="46" t="s">
        <v>503</v>
      </c>
      <c r="C128" s="23"/>
      <c r="D128" s="23"/>
      <c r="E128" s="23"/>
      <c r="F128" s="23"/>
      <c r="G128" s="23"/>
      <c r="H128" s="23"/>
    </row>
    <row r="129" spans="2:8" x14ac:dyDescent="0.25">
      <c r="B129" s="46" t="s">
        <v>505</v>
      </c>
      <c r="C129" s="23"/>
      <c r="D129" s="23"/>
      <c r="E129" s="23"/>
      <c r="F129" s="23"/>
      <c r="G129" s="23"/>
      <c r="H129" s="23"/>
    </row>
    <row r="130" spans="2:8" x14ac:dyDescent="0.25">
      <c r="B130" s="46" t="s">
        <v>507</v>
      </c>
      <c r="C130" s="23"/>
      <c r="D130" s="23"/>
      <c r="E130" s="23"/>
      <c r="F130" s="23"/>
      <c r="G130" s="23"/>
      <c r="H130" s="23"/>
    </row>
    <row r="131" spans="2:8" x14ac:dyDescent="0.25">
      <c r="B131" s="46" t="str">
        <f>"            $.post(base+'/"&amp;E11&amp;"/inline_edit',{id:id,edited:edited},function(d){"</f>
        <v xml:space="preserve">            $.post(base+'/page/inline_edit',{id:id,edited:edited},function(d){</v>
      </c>
      <c r="C131" s="23"/>
      <c r="D131" s="23"/>
      <c r="E131" s="23"/>
      <c r="F131" s="23"/>
      <c r="G131" s="23"/>
      <c r="H131" s="23"/>
    </row>
    <row r="132" spans="2:8" x14ac:dyDescent="0.25">
      <c r="B132" s="46" t="s">
        <v>509</v>
      </c>
      <c r="C132" s="23"/>
      <c r="D132" s="23"/>
      <c r="E132" s="23"/>
      <c r="F132" s="23"/>
      <c r="G132" s="23"/>
      <c r="H132" s="23"/>
    </row>
    <row r="133" spans="2:8" x14ac:dyDescent="0.25">
      <c r="B133" s="46" t="s">
        <v>510</v>
      </c>
      <c r="C133" s="23"/>
      <c r="D133" s="23"/>
      <c r="E133" s="23"/>
      <c r="F133" s="23"/>
      <c r="G133" s="23"/>
      <c r="H133" s="23"/>
    </row>
    <row r="134" spans="2:8" x14ac:dyDescent="0.25">
      <c r="B134" s="46" t="s">
        <v>511</v>
      </c>
      <c r="C134" s="23"/>
      <c r="D134" s="23"/>
      <c r="E134" s="23"/>
      <c r="F134" s="23"/>
      <c r="G134" s="23"/>
      <c r="H134" s="23"/>
    </row>
    <row r="135" spans="2:8" x14ac:dyDescent="0.25">
      <c r="B135" s="46" t="s">
        <v>512</v>
      </c>
      <c r="C135" s="23"/>
      <c r="D135" s="23"/>
      <c r="E135" s="23"/>
      <c r="F135" s="23"/>
      <c r="G135" s="23"/>
      <c r="H135" s="23"/>
    </row>
    <row r="136" spans="2:8" x14ac:dyDescent="0.25">
      <c r="B136" s="46" t="s">
        <v>513</v>
      </c>
      <c r="C136" s="23"/>
      <c r="D136" s="23"/>
      <c r="E136" s="23"/>
      <c r="F136" s="23"/>
      <c r="G136" s="23"/>
      <c r="H136" s="23"/>
    </row>
    <row r="137" spans="2:8" x14ac:dyDescent="0.25">
      <c r="B137" s="46" t="s">
        <v>508</v>
      </c>
      <c r="C137" s="23"/>
      <c r="D137" s="23"/>
      <c r="E137" s="23"/>
      <c r="F137" s="23"/>
      <c r="G137" s="23"/>
      <c r="H137" s="23"/>
    </row>
    <row r="138" spans="2:8" x14ac:dyDescent="0.25">
      <c r="B138" s="46" t="s">
        <v>504</v>
      </c>
      <c r="C138" s="23"/>
      <c r="D138" s="23"/>
      <c r="E138" s="23"/>
      <c r="F138" s="23"/>
      <c r="G138" s="23"/>
      <c r="H138" s="23"/>
    </row>
    <row r="139" spans="2:8" x14ac:dyDescent="0.25">
      <c r="B139" s="46" t="s">
        <v>480</v>
      </c>
      <c r="C139" s="23"/>
      <c r="D139" s="23"/>
      <c r="E139" s="23"/>
      <c r="F139" s="23"/>
      <c r="G139" s="23"/>
      <c r="H139" s="23"/>
    </row>
    <row r="140" spans="2:8" x14ac:dyDescent="0.25">
      <c r="B140" s="46" t="s">
        <v>136</v>
      </c>
      <c r="C140" s="23"/>
      <c r="D140" s="23"/>
      <c r="E140" s="23"/>
      <c r="F140" s="23"/>
      <c r="G140" s="23"/>
      <c r="H140" s="23"/>
    </row>
    <row r="141" spans="2:8" x14ac:dyDescent="0.25">
      <c r="B141" s="46" t="s">
        <v>491</v>
      </c>
      <c r="C141" s="23"/>
      <c r="D141" s="23"/>
      <c r="E141" s="23"/>
      <c r="F141" s="23"/>
      <c r="G141" s="23"/>
      <c r="H141" s="23"/>
    </row>
    <row r="143" spans="2:8" x14ac:dyDescent="0.25">
      <c r="B143" s="10" t="s">
        <v>516</v>
      </c>
      <c r="D143" s="10" t="str">
        <f>'AutoLaravel v1'!D52</f>
        <v xml:space="preserve"> app/Controllers/ProjtemplatesController.php</v>
      </c>
    </row>
    <row r="144" spans="2:8" x14ac:dyDescent="0.25">
      <c r="B144" s="46" t="str">
        <f>"public function postInline_edit() {"</f>
        <v>public function postInline_edit() {</v>
      </c>
      <c r="C144" s="23"/>
      <c r="D144" s="23"/>
      <c r="E144" s="23"/>
      <c r="F144" s="23"/>
      <c r="G144" s="23"/>
      <c r="H144" s="23"/>
    </row>
    <row r="145" spans="2:8" x14ac:dyDescent="0.25">
      <c r="B145" s="46" t="s">
        <v>514</v>
      </c>
      <c r="C145" s="23"/>
      <c r="D145" s="23"/>
      <c r="E145" s="23"/>
      <c r="F145" s="23"/>
      <c r="G145" s="23"/>
      <c r="H145" s="23"/>
    </row>
    <row r="146" spans="2:8" x14ac:dyDescent="0.25">
      <c r="B146" s="46" t="s">
        <v>515</v>
      </c>
      <c r="C146" s="23"/>
      <c r="D146" s="23"/>
      <c r="E146" s="23"/>
      <c r="F146" s="23"/>
      <c r="G146" s="23"/>
      <c r="H146" s="23"/>
    </row>
    <row r="147" spans="2:8" x14ac:dyDescent="0.25">
      <c r="B147" s="46"/>
      <c r="C147" s="23"/>
      <c r="D147" s="23"/>
      <c r="E147" s="23"/>
      <c r="F147" s="23"/>
      <c r="G147" s="23"/>
      <c r="H147" s="23"/>
    </row>
    <row r="148" spans="2:8" x14ac:dyDescent="0.25">
      <c r="B148" s="46"/>
      <c r="C148" s="23"/>
      <c r="D148" s="23"/>
      <c r="E148" s="23"/>
      <c r="F148" s="23"/>
      <c r="G148" s="23"/>
      <c r="H148" s="23"/>
    </row>
    <row r="149" spans="2:8" x14ac:dyDescent="0.25">
      <c r="B149" s="46" t="s">
        <v>277</v>
      </c>
      <c r="C149" s="23"/>
      <c r="D149" s="23"/>
      <c r="E149" s="23"/>
      <c r="F149" s="23"/>
      <c r="G149" s="23"/>
      <c r="H149" s="23"/>
    </row>
    <row r="150" spans="2:8" x14ac:dyDescent="0.25">
      <c r="B150" s="46"/>
      <c r="C150" s="23"/>
      <c r="D150" s="23"/>
      <c r="E150" s="23"/>
      <c r="F150" s="23"/>
      <c r="G150" s="23"/>
      <c r="H150" s="23"/>
    </row>
    <row r="151" spans="2:8" x14ac:dyDescent="0.25">
      <c r="B151" s="46"/>
      <c r="C151" s="23"/>
      <c r="D151" s="23"/>
      <c r="E151" s="23"/>
      <c r="F151" s="23"/>
      <c r="G151" s="23"/>
      <c r="H151" s="23"/>
    </row>
    <row r="152" spans="2:8" x14ac:dyDescent="0.25">
      <c r="B152" s="46" t="s">
        <v>39</v>
      </c>
      <c r="C152" s="23"/>
      <c r="D152" s="23"/>
      <c r="E152" s="23"/>
      <c r="F152" s="23"/>
      <c r="G152" s="23"/>
      <c r="H152" s="23"/>
    </row>
    <row r="154" spans="2:8" x14ac:dyDescent="0.25">
      <c r="B154" s="10" t="s">
        <v>360</v>
      </c>
    </row>
    <row r="156" spans="2:8" x14ac:dyDescent="0.25">
      <c r="B156" s="10" t="s">
        <v>361</v>
      </c>
    </row>
    <row r="158" spans="2:8" x14ac:dyDescent="0.25">
      <c r="B158" s="46" t="str">
        <f>A2&amp;C16&amp;A3</f>
        <v>&lt;input type='text' id='addpage' &gt;</v>
      </c>
      <c r="C158" s="46"/>
      <c r="D158" s="46"/>
      <c r="E158" s="46"/>
      <c r="F158" s="46"/>
      <c r="G158" s="46"/>
    </row>
    <row r="159" spans="2:8" x14ac:dyDescent="0.25">
      <c r="B159" s="46" t="str">
        <f>A5&amp;A4&amp;E11&amp;A6</f>
        <v>&lt;button class='btn' id='confirm_addpage' &gt;Add + &lt;/button&gt;</v>
      </c>
      <c r="C159" s="46"/>
      <c r="D159" s="46"/>
      <c r="E159" s="46"/>
      <c r="F159" s="46"/>
      <c r="G159" s="46"/>
    </row>
    <row r="160" spans="2:8" x14ac:dyDescent="0.25">
      <c r="B160" s="46"/>
      <c r="C160" s="46"/>
      <c r="D160" s="46"/>
      <c r="E160" s="46"/>
      <c r="F160" s="46"/>
      <c r="G160" s="46"/>
    </row>
    <row r="161" spans="2:7" x14ac:dyDescent="0.25">
      <c r="B161" s="46"/>
      <c r="C161" s="46"/>
      <c r="D161" s="46"/>
      <c r="E161" s="46"/>
      <c r="F161" s="46"/>
      <c r="G161" s="46"/>
    </row>
    <row r="162" spans="2:7" x14ac:dyDescent="0.25">
      <c r="B162" s="46"/>
      <c r="C162" s="46"/>
      <c r="D162" s="46"/>
      <c r="E162" s="46"/>
      <c r="F162" s="46"/>
      <c r="G162" s="46"/>
    </row>
    <row r="165" spans="2:7" x14ac:dyDescent="0.25">
      <c r="B165" s="10" t="s">
        <v>339</v>
      </c>
    </row>
    <row r="166" spans="2:7" x14ac:dyDescent="0.25">
      <c r="B166" s="46" t="str">
        <f>A7&amp;A4&amp;E11&amp;B1</f>
        <v>$(#'confirm_addpage').click(function() {</v>
      </c>
      <c r="C166" s="46"/>
      <c r="D166" s="46"/>
      <c r="E166" s="46"/>
      <c r="F166" s="46"/>
      <c r="G166" s="46"/>
    </row>
    <row r="167" spans="2:7" x14ac:dyDescent="0.25">
      <c r="B167" s="46" t="str">
        <f>"     var "&amp;C16&amp;"=$('#"&amp;C16&amp;"').val();"</f>
        <v xml:space="preserve">     var addpage=$('#addpage').val();</v>
      </c>
      <c r="C167" s="46"/>
      <c r="D167" s="46"/>
      <c r="E167" s="46"/>
      <c r="F167" s="46"/>
      <c r="G167" s="46"/>
    </row>
    <row r="168" spans="2:7" x14ac:dyDescent="0.25">
      <c r="B168" s="46" t="s">
        <v>342</v>
      </c>
      <c r="C168" s="46"/>
      <c r="D168" s="46"/>
      <c r="E168" s="46"/>
      <c r="F168" s="46"/>
      <c r="G168" s="46"/>
    </row>
    <row r="169" spans="2:7" x14ac:dyDescent="0.25">
      <c r="B169" s="46" t="str">
        <f>"    "&amp;B2&amp;C16&amp;B3</f>
        <v xml:space="preserve">    if(addpage!='') {</v>
      </c>
      <c r="C169" s="46"/>
      <c r="D169" s="46"/>
      <c r="E169" s="46"/>
      <c r="F169" s="46"/>
      <c r="G169" s="46"/>
    </row>
    <row r="170" spans="2:7" x14ac:dyDescent="0.25">
      <c r="B170" s="46" t="str">
        <f>"        "&amp;B4&amp;C15&amp;"/"&amp;C16&amp;B5&amp;C16&amp;";"&amp;C16&amp;B6</f>
        <v xml:space="preserve">        $.post(base+'/logged/addpage' , {addpage;addpage},function(d) {</v>
      </c>
      <c r="C170" s="46"/>
      <c r="D170" s="46"/>
      <c r="E170" s="46"/>
      <c r="F170" s="46"/>
      <c r="G170" s="46"/>
    </row>
    <row r="171" spans="2:7" x14ac:dyDescent="0.25">
      <c r="B171" s="46" t="str">
        <f>"          "&amp;B2&amp;C7</f>
        <v xml:space="preserve">          if(d==1) {</v>
      </c>
      <c r="C171" s="46"/>
      <c r="D171" s="46"/>
      <c r="E171" s="46"/>
      <c r="F171" s="46"/>
      <c r="G171" s="46"/>
    </row>
    <row r="172" spans="2:7" x14ac:dyDescent="0.25">
      <c r="B172" s="46" t="s">
        <v>347</v>
      </c>
      <c r="C172" s="46"/>
      <c r="D172" s="46"/>
      <c r="E172" s="46"/>
      <c r="F172" s="46"/>
      <c r="G172" s="46"/>
    </row>
    <row r="173" spans="2:7" x14ac:dyDescent="0.25">
      <c r="B173" s="46" t="s">
        <v>359</v>
      </c>
      <c r="C173" s="46"/>
      <c r="D173" s="46"/>
      <c r="E173" s="46"/>
      <c r="F173" s="46"/>
      <c r="G173" s="46"/>
    </row>
    <row r="174" spans="2:7" x14ac:dyDescent="0.25">
      <c r="B174" s="46" t="str">
        <f>"        }"</f>
        <v xml:space="preserve">        }</v>
      </c>
      <c r="C174" s="46"/>
      <c r="D174" s="46"/>
      <c r="E174" s="46"/>
      <c r="F174" s="46"/>
      <c r="G174" s="46"/>
    </row>
    <row r="175" spans="2:7" x14ac:dyDescent="0.25">
      <c r="B175" s="46" t="str">
        <f>"        );"</f>
        <v xml:space="preserve">        );</v>
      </c>
      <c r="C175" s="46"/>
      <c r="D175" s="46"/>
      <c r="E175" s="46"/>
      <c r="F175" s="46"/>
      <c r="G175" s="46"/>
    </row>
    <row r="176" spans="2:7" x14ac:dyDescent="0.25">
      <c r="B176" s="46" t="str">
        <f>"    }"</f>
        <v xml:space="preserve">    }</v>
      </c>
      <c r="C176" s="46"/>
      <c r="D176" s="46"/>
      <c r="E176" s="46"/>
      <c r="F176" s="46"/>
      <c r="G176" s="46"/>
    </row>
    <row r="177" spans="2:7" x14ac:dyDescent="0.25">
      <c r="B177" s="46" t="s">
        <v>136</v>
      </c>
      <c r="C177" s="46"/>
      <c r="D177" s="46"/>
      <c r="E177" s="46"/>
      <c r="F177" s="46"/>
      <c r="G177" s="46"/>
    </row>
    <row r="178" spans="2:7" x14ac:dyDescent="0.25">
      <c r="B178" s="46"/>
      <c r="C178" s="46"/>
      <c r="D178" s="46"/>
      <c r="E178" s="46"/>
      <c r="F178" s="46"/>
      <c r="G178" s="46"/>
    </row>
    <row r="179" spans="2:7" x14ac:dyDescent="0.25">
      <c r="B179" s="46"/>
      <c r="C179" s="46"/>
      <c r="D179" s="46"/>
      <c r="E179" s="46"/>
      <c r="F179" s="46"/>
      <c r="G179" s="46"/>
    </row>
    <row r="180" spans="2:7" x14ac:dyDescent="0.25">
      <c r="B180" s="46"/>
      <c r="C180" s="46"/>
      <c r="D180" s="46"/>
      <c r="E180" s="46"/>
      <c r="F180" s="46"/>
      <c r="G180" s="46"/>
    </row>
    <row r="181" spans="2:7" x14ac:dyDescent="0.25">
      <c r="B181" s="46"/>
      <c r="C181" s="46"/>
      <c r="D181" s="46"/>
      <c r="E181" s="46"/>
      <c r="F181" s="46"/>
      <c r="G181" s="46"/>
    </row>
    <row r="182" spans="2:7" x14ac:dyDescent="0.25">
      <c r="B182" s="46"/>
      <c r="C182" s="46"/>
      <c r="D182" s="46"/>
      <c r="E182" s="46"/>
      <c r="F182" s="46"/>
      <c r="G182" s="46"/>
    </row>
    <row r="183" spans="2:7" x14ac:dyDescent="0.25">
      <c r="B183" s="46"/>
      <c r="C183" s="46"/>
      <c r="D183" s="46"/>
      <c r="E183" s="46"/>
      <c r="F183" s="46"/>
      <c r="G183" s="46"/>
    </row>
    <row r="184" spans="2:7" x14ac:dyDescent="0.25">
      <c r="B184" s="46"/>
      <c r="C184" s="46"/>
      <c r="D184" s="46"/>
      <c r="E184" s="46"/>
      <c r="F184" s="46"/>
      <c r="G184" s="46"/>
    </row>
    <row r="185" spans="2:7" x14ac:dyDescent="0.25">
      <c r="B185" s="46"/>
      <c r="C185" s="46"/>
      <c r="D185" s="46"/>
      <c r="E185" s="46"/>
      <c r="F185" s="46"/>
      <c r="G185" s="46"/>
    </row>
    <row r="186" spans="2:7" x14ac:dyDescent="0.25">
      <c r="B186" s="46"/>
      <c r="C186" s="46"/>
      <c r="D186" s="46"/>
      <c r="E186" s="46"/>
      <c r="F186" s="46"/>
      <c r="G186" s="46"/>
    </row>
    <row r="187" spans="2:7" x14ac:dyDescent="0.25">
      <c r="B187" s="46"/>
      <c r="C187" s="46"/>
      <c r="D187" s="46"/>
      <c r="E187" s="46"/>
      <c r="F187" s="46"/>
      <c r="G187" s="46"/>
    </row>
    <row r="188" spans="2:7" x14ac:dyDescent="0.25">
      <c r="B188" s="46"/>
      <c r="C188" s="46"/>
      <c r="D188" s="46"/>
      <c r="E188" s="46"/>
      <c r="F188" s="46"/>
      <c r="G188" s="46"/>
    </row>
    <row r="189" spans="2:7" x14ac:dyDescent="0.25">
      <c r="B189" s="46"/>
      <c r="C189" s="46"/>
      <c r="D189" s="46"/>
      <c r="E189" s="46"/>
      <c r="F189" s="46"/>
      <c r="G189" s="46"/>
    </row>
    <row r="190" spans="2:7" x14ac:dyDescent="0.25">
      <c r="B190" s="46"/>
      <c r="C190" s="46"/>
      <c r="D190" s="46"/>
      <c r="E190" s="46"/>
      <c r="F190" s="46"/>
      <c r="G190" s="46"/>
    </row>
    <row r="191" spans="2:7" x14ac:dyDescent="0.25">
      <c r="B191" s="46"/>
      <c r="C191" s="46"/>
      <c r="D191" s="46"/>
      <c r="E191" s="46"/>
      <c r="F191" s="46"/>
      <c r="G191" s="46"/>
    </row>
    <row r="192" spans="2:7" x14ac:dyDescent="0.25">
      <c r="B192" s="46"/>
      <c r="C192" s="46"/>
      <c r="D192" s="46"/>
      <c r="E192" s="46"/>
      <c r="F192" s="46"/>
      <c r="G192" s="46"/>
    </row>
    <row r="193" spans="2:7" x14ac:dyDescent="0.25">
      <c r="B193" s="46"/>
      <c r="C193" s="46"/>
      <c r="D193" s="46"/>
      <c r="E193" s="46"/>
      <c r="F193" s="46"/>
      <c r="G193" s="46"/>
    </row>
    <row r="194" spans="2:7" x14ac:dyDescent="0.25">
      <c r="B194" s="46"/>
      <c r="C194" s="46"/>
      <c r="D194" s="46"/>
      <c r="E194" s="46"/>
      <c r="F194" s="46"/>
      <c r="G194" s="46"/>
    </row>
    <row r="195" spans="2:7" x14ac:dyDescent="0.25">
      <c r="B195" s="46"/>
      <c r="C195" s="46"/>
      <c r="D195" s="46"/>
      <c r="E195" s="46"/>
      <c r="F195" s="46"/>
      <c r="G195" s="46"/>
    </row>
    <row r="198" spans="2:7" x14ac:dyDescent="0.25">
      <c r="B198" s="10" t="s">
        <v>106</v>
      </c>
    </row>
    <row r="199" spans="2:7" x14ac:dyDescent="0.25">
      <c r="B199" s="46" t="str">
        <f>B7&amp;H16&amp;C1</f>
        <v>public function postAddpage() {</v>
      </c>
      <c r="C199" s="46"/>
      <c r="D199" s="46"/>
      <c r="E199" s="46"/>
      <c r="F199" s="46"/>
      <c r="G199" s="46"/>
    </row>
    <row r="200" spans="2:7" x14ac:dyDescent="0.25">
      <c r="B200" s="46" t="str">
        <f>"    $"&amp;C16&amp;C2&amp;C16&amp;C3</f>
        <v xml:space="preserve">    $addpage=$_POST['addpage'];</v>
      </c>
      <c r="C200" s="46"/>
      <c r="D200" s="46"/>
      <c r="E200" s="46"/>
      <c r="F200" s="46"/>
      <c r="G200" s="46"/>
    </row>
    <row r="201" spans="2:7" x14ac:dyDescent="0.25">
      <c r="B201" s="46" t="str">
        <f>"    $"&amp;$E$11&amp;C4&amp;F11&amp;";"</f>
        <v xml:space="preserve">    $page=new Page;</v>
      </c>
      <c r="C201" s="46"/>
      <c r="D201" s="46"/>
      <c r="E201" s="46"/>
      <c r="F201" s="46"/>
      <c r="G201" s="46"/>
    </row>
    <row r="202" spans="2:7" x14ac:dyDescent="0.25">
      <c r="B202" s="46" t="str">
        <f>"    $"&amp;$E$11&amp;C5&amp;C13&amp;"=$"&amp;G16&amp;";"</f>
        <v xml:space="preserve">    $page-&gt;idea=$addpage;</v>
      </c>
      <c r="C202" s="46"/>
      <c r="D202" s="46"/>
      <c r="E202" s="46"/>
      <c r="F202" s="46"/>
      <c r="G202" s="46"/>
    </row>
    <row r="203" spans="2:7" x14ac:dyDescent="0.25">
      <c r="B203" s="46" t="str">
        <f>"    $"&amp;$E$11&amp;C5&amp;C6</f>
        <v xml:space="preserve">    $page-&gt;save();</v>
      </c>
      <c r="C203" s="46"/>
      <c r="D203" s="46"/>
      <c r="E203" s="46"/>
      <c r="F203" s="46"/>
      <c r="G203" s="46"/>
    </row>
    <row r="204" spans="2:7" x14ac:dyDescent="0.25">
      <c r="B204" s="46" t="s">
        <v>357</v>
      </c>
      <c r="C204" s="46"/>
      <c r="D204" s="46"/>
      <c r="E204" s="46"/>
      <c r="F204" s="46"/>
      <c r="G204" s="46"/>
    </row>
    <row r="205" spans="2:7" x14ac:dyDescent="0.25">
      <c r="B205" s="46" t="s">
        <v>39</v>
      </c>
      <c r="C205" s="46"/>
      <c r="D205" s="46"/>
      <c r="E205" s="46"/>
      <c r="F205" s="46"/>
      <c r="G205" s="46"/>
    </row>
    <row r="218" spans="14:14" x14ac:dyDescent="0.25">
      <c r="N218" s="10" t="s">
        <v>405</v>
      </c>
    </row>
    <row r="220" spans="14:14" x14ac:dyDescent="0.25">
      <c r="N220" s="55" t="s">
        <v>406</v>
      </c>
    </row>
    <row r="221" spans="14:14" x14ac:dyDescent="0.25">
      <c r="N221" s="55" t="s">
        <v>407</v>
      </c>
    </row>
    <row r="222" spans="14:14" x14ac:dyDescent="0.25">
      <c r="N222" s="55" t="s">
        <v>408</v>
      </c>
    </row>
    <row r="223" spans="14:14" x14ac:dyDescent="0.25">
      <c r="N223" s="60" t="str">
        <f>IF('AutoLaravel v1'!C70&lt;&gt;"",'AutoLaravel v1'!C70,"")</f>
        <v>pagename</v>
      </c>
    </row>
    <row r="224" spans="14:14" x14ac:dyDescent="0.25">
      <c r="N224" s="60" t="str">
        <f>IF('AutoLaravel v1'!C71&lt;&gt;"",'AutoLaravel v1'!C71,"")</f>
        <v>pagedescription</v>
      </c>
    </row>
    <row r="225" spans="14:14" x14ac:dyDescent="0.25">
      <c r="N225" s="60" t="str">
        <f>IF('AutoLaravel v1'!C72&lt;&gt;"",'AutoLaravel v1'!C72,"")</f>
        <v/>
      </c>
    </row>
    <row r="226" spans="14:14" x14ac:dyDescent="0.25">
      <c r="N226" s="60" t="str">
        <f>IF('AutoLaravel v1'!C73&lt;&gt;"",'AutoLaravel v1'!C73,"")</f>
        <v/>
      </c>
    </row>
    <row r="227" spans="14:14" x14ac:dyDescent="0.25">
      <c r="N227" s="60" t="str">
        <f>IF('AutoLaravel v1'!C74&lt;&gt;"",'AutoLaravel v1'!C74,"")</f>
        <v/>
      </c>
    </row>
    <row r="228" spans="14:14" x14ac:dyDescent="0.25">
      <c r="N228" s="60" t="str">
        <f>IF('AutoLaravel v1'!C75&lt;&gt;"",'AutoLaravel v1'!C75,"")</f>
        <v/>
      </c>
    </row>
    <row r="229" spans="14:14" x14ac:dyDescent="0.25">
      <c r="N229" s="60" t="str">
        <f>IF('AutoLaravel v1'!C76&lt;&gt;"",'AutoLaravel v1'!C76,"")</f>
        <v/>
      </c>
    </row>
    <row r="230" spans="14:14" x14ac:dyDescent="0.25">
      <c r="N230" s="60" t="str">
        <f>IF('AutoLaravel v1'!C77&lt;&gt;"",'AutoLaravel v1'!C77,"")</f>
        <v/>
      </c>
    </row>
    <row r="231" spans="14:14" x14ac:dyDescent="0.25">
      <c r="N231" s="60" t="str">
        <f>IF('AutoLaravel v1'!C78&lt;&gt;"",'AutoLaravel v1'!C78,"")</f>
        <v/>
      </c>
    </row>
    <row r="232" spans="14:14" x14ac:dyDescent="0.25">
      <c r="N232" s="60" t="str">
        <f>IF('AutoLaravel v1'!C79&lt;&gt;"",'AutoLaravel v1'!C79,"")</f>
        <v/>
      </c>
    </row>
    <row r="233" spans="14:14" x14ac:dyDescent="0.25">
      <c r="N233" s="55" t="str">
        <f>IF('AutoLaravel v1'!G70&lt;&gt;"",'AutoLaravel v1'!G70,"")</f>
        <v/>
      </c>
    </row>
    <row r="234" spans="14:14" x14ac:dyDescent="0.25">
      <c r="N234" s="55" t="str">
        <f>IF('AutoLaravel v1'!G71&lt;&gt;"",'AutoLaravel v1'!G71,"")</f>
        <v/>
      </c>
    </row>
    <row r="235" spans="14:14" x14ac:dyDescent="0.25">
      <c r="N235" s="55" t="str">
        <f>IF('AutoLaravel v1'!G72&lt;&gt;"",'AutoLaravel v1'!G72,"")</f>
        <v/>
      </c>
    </row>
    <row r="236" spans="14:14" x14ac:dyDescent="0.25">
      <c r="N236" s="55" t="str">
        <f>IF('AutoLaravel v1'!G73&lt;&gt;"",'AutoLaravel v1'!G73,"")</f>
        <v/>
      </c>
    </row>
    <row r="237" spans="14:14" x14ac:dyDescent="0.25">
      <c r="N237" s="55" t="str">
        <f>IF('AutoLaravel v1'!G74&lt;&gt;"",'AutoLaravel v1'!G74,"")</f>
        <v/>
      </c>
    </row>
    <row r="238" spans="14:14" x14ac:dyDescent="0.25">
      <c r="N238" s="55" t="str">
        <f>IF('AutoLaravel v1'!G75&lt;&gt;"",'AutoLaravel v1'!G75,"")</f>
        <v/>
      </c>
    </row>
    <row r="239" spans="14:14" x14ac:dyDescent="0.25">
      <c r="N239" s="55" t="str">
        <f>IF('AutoLaravel v1'!G76&lt;&gt;"",'AutoLaravel v1'!G76,"")</f>
        <v/>
      </c>
    </row>
    <row r="240" spans="14:14" x14ac:dyDescent="0.25">
      <c r="N240" s="55" t="str">
        <f>IF('AutoLaravel v1'!G77&lt;&gt;"",'AutoLaravel v1'!G77,"")</f>
        <v/>
      </c>
    </row>
    <row r="241" spans="14:14" x14ac:dyDescent="0.25">
      <c r="N241" s="55" t="str">
        <f>IF('AutoLaravel v1'!G78&lt;&gt;"",'AutoLaravel v1'!G78,"")</f>
        <v/>
      </c>
    </row>
    <row r="242" spans="14:14" x14ac:dyDescent="0.25">
      <c r="N242" s="55" t="str">
        <f>IF('AutoLaravel v1'!G79&lt;&gt;"",'AutoLaravel v1'!G79,"")</f>
        <v/>
      </c>
    </row>
    <row r="244" spans="14:14" x14ac:dyDescent="0.25">
      <c r="N244" s="10" t="s">
        <v>451</v>
      </c>
    </row>
    <row r="245" spans="14:14" x14ac:dyDescent="0.25">
      <c r="N245" s="10" t="s">
        <v>452</v>
      </c>
    </row>
    <row r="246" spans="14:14" x14ac:dyDescent="0.25">
      <c r="N246" s="10" t="s">
        <v>453</v>
      </c>
    </row>
  </sheetData>
  <mergeCells count="1">
    <mergeCell ref="C12:D12"/>
  </mergeCells>
  <dataValidations disablePrompts="1" count="2">
    <dataValidation type="list" allowBlank="1" showInputMessage="1" showErrorMessage="1" errorTitle="List" sqref="C12:D12">
      <formula1>$N$220:$N$242</formula1>
    </dataValidation>
    <dataValidation type="list" allowBlank="1" showInputMessage="1" showErrorMessage="1" sqref="C29 C33:D42 H33:I42">
      <formula1>$N$245:$N$246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10" sqref="B10"/>
    </sheetView>
  </sheetViews>
  <sheetFormatPr baseColWidth="10" defaultRowHeight="15" x14ac:dyDescent="0.25"/>
  <cols>
    <col min="1" max="16384" width="11.42578125" style="10"/>
  </cols>
  <sheetData>
    <row r="3" spans="2:2" x14ac:dyDescent="0.25">
      <c r="B3" s="10" t="s">
        <v>394</v>
      </c>
    </row>
    <row r="5" spans="2:2" x14ac:dyDescent="0.25">
      <c r="B5" s="10" t="s">
        <v>395</v>
      </c>
    </row>
    <row r="6" spans="2:2" x14ac:dyDescent="0.25">
      <c r="B6" s="10" t="s">
        <v>396</v>
      </c>
    </row>
    <row r="7" spans="2:2" x14ac:dyDescent="0.25">
      <c r="B7" s="10" t="s">
        <v>397</v>
      </c>
    </row>
    <row r="8" spans="2:2" x14ac:dyDescent="0.25">
      <c r="B8" s="10" t="s">
        <v>398</v>
      </c>
    </row>
    <row r="9" spans="2:2" x14ac:dyDescent="0.25">
      <c r="B9" s="10" t="s">
        <v>399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>
      <selection activeCell="D19" sqref="D19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119</v>
      </c>
    </row>
    <row r="5" spans="2:11" x14ac:dyDescent="0.25">
      <c r="B5" s="10" t="s">
        <v>120</v>
      </c>
    </row>
    <row r="6" spans="2:11" x14ac:dyDescent="0.25">
      <c r="B6" s="10" t="s">
        <v>121</v>
      </c>
    </row>
    <row r="7" spans="2:11" x14ac:dyDescent="0.25">
      <c r="C7" s="10" t="s">
        <v>122</v>
      </c>
      <c r="D7" s="10" t="s">
        <v>113</v>
      </c>
    </row>
    <row r="8" spans="2:11" x14ac:dyDescent="0.25">
      <c r="C8" s="10" t="s">
        <v>123</v>
      </c>
      <c r="D8" s="10" t="s">
        <v>111</v>
      </c>
    </row>
    <row r="9" spans="2:11" x14ac:dyDescent="0.25">
      <c r="D9" s="10" t="s">
        <v>112</v>
      </c>
    </row>
    <row r="10" spans="2:11" x14ac:dyDescent="0.25">
      <c r="C10" s="10" t="s">
        <v>124</v>
      </c>
    </row>
    <row r="11" spans="2:11" x14ac:dyDescent="0.25">
      <c r="D11" s="10" t="s">
        <v>125</v>
      </c>
    </row>
    <row r="13" spans="2:11" x14ac:dyDescent="0.25">
      <c r="B13" s="10" t="s">
        <v>127</v>
      </c>
    </row>
    <row r="14" spans="2:11" x14ac:dyDescent="0.25">
      <c r="B14" s="18" t="s">
        <v>114</v>
      </c>
      <c r="C14" s="17" t="s">
        <v>132</v>
      </c>
      <c r="D14" s="17"/>
      <c r="E14" s="17"/>
      <c r="F14" s="17"/>
      <c r="G14" s="17"/>
      <c r="H14" s="17"/>
      <c r="I14" s="17"/>
      <c r="J14" s="17"/>
      <c r="K14" s="17"/>
    </row>
    <row r="15" spans="2:11" x14ac:dyDescent="0.25">
      <c r="B15" s="17" t="s">
        <v>86</v>
      </c>
      <c r="C15" s="17" t="s">
        <v>55</v>
      </c>
      <c r="D15" s="17"/>
      <c r="E15" s="17"/>
      <c r="F15" s="17"/>
      <c r="G15" s="17"/>
    </row>
    <row r="16" spans="2:11" x14ac:dyDescent="0.25">
      <c r="B16" s="17" t="s">
        <v>86</v>
      </c>
      <c r="C16" s="17" t="s">
        <v>128</v>
      </c>
      <c r="D16" s="17"/>
      <c r="E16" s="17"/>
      <c r="F16" s="17"/>
      <c r="G16" s="17"/>
    </row>
    <row r="18" spans="2:4" x14ac:dyDescent="0.25">
      <c r="B18" s="10" t="s">
        <v>141</v>
      </c>
    </row>
    <row r="19" spans="2:4" x14ac:dyDescent="0.25">
      <c r="C19" s="21" t="s">
        <v>142</v>
      </c>
    </row>
    <row r="20" spans="2:4" x14ac:dyDescent="0.25">
      <c r="C20" s="21" t="s">
        <v>143</v>
      </c>
    </row>
    <row r="22" spans="2:4" x14ac:dyDescent="0.25">
      <c r="B22" s="10" t="s">
        <v>139</v>
      </c>
    </row>
    <row r="23" spans="2:4" x14ac:dyDescent="0.25">
      <c r="C23" s="16" t="s">
        <v>144</v>
      </c>
      <c r="D23" s="16"/>
    </row>
    <row r="24" spans="2:4" x14ac:dyDescent="0.25">
      <c r="C24" s="16" t="s">
        <v>147</v>
      </c>
    </row>
    <row r="25" spans="2:4" x14ac:dyDescent="0.25">
      <c r="C25" s="16" t="s">
        <v>148</v>
      </c>
    </row>
    <row r="26" spans="2:4" x14ac:dyDescent="0.25">
      <c r="C26" s="16" t="s">
        <v>136</v>
      </c>
    </row>
    <row r="27" spans="2:4" x14ac:dyDescent="0.25">
      <c r="C27" s="16" t="s">
        <v>145</v>
      </c>
    </row>
    <row r="28" spans="2:4" x14ac:dyDescent="0.25">
      <c r="C28" s="16" t="s">
        <v>146</v>
      </c>
    </row>
    <row r="29" spans="2:4" x14ac:dyDescent="0.25">
      <c r="C29" s="10" t="s">
        <v>126</v>
      </c>
    </row>
    <row r="31" spans="2:4" x14ac:dyDescent="0.25">
      <c r="B31" s="10" t="s">
        <v>140</v>
      </c>
    </row>
    <row r="32" spans="2:4" x14ac:dyDescent="0.25">
      <c r="C32" s="21" t="s">
        <v>116</v>
      </c>
    </row>
    <row r="33" spans="2:6" x14ac:dyDescent="0.25">
      <c r="C33" s="21" t="s">
        <v>129</v>
      </c>
    </row>
    <row r="34" spans="2:6" x14ac:dyDescent="0.25">
      <c r="C34" s="21" t="s">
        <v>115</v>
      </c>
    </row>
    <row r="36" spans="2:6" x14ac:dyDescent="0.25">
      <c r="B36" s="15" t="s">
        <v>138</v>
      </c>
      <c r="F36" s="20"/>
    </row>
    <row r="37" spans="2:6" x14ac:dyDescent="0.25">
      <c r="C37" s="20"/>
    </row>
    <row r="39" spans="2:6" x14ac:dyDescent="0.25">
      <c r="C39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2" workbookViewId="0">
      <selection activeCell="C41" sqref="C41"/>
    </sheetView>
  </sheetViews>
  <sheetFormatPr baseColWidth="10" defaultRowHeight="15" zeroHeight="1" x14ac:dyDescent="0.25"/>
  <cols>
    <col min="1" max="5" width="11.42578125" style="10"/>
    <col min="6" max="6" width="11.85546875" style="10" bestFit="1" customWidth="1"/>
    <col min="7" max="16384" width="11.42578125" style="10"/>
  </cols>
  <sheetData>
    <row r="1" spans="1:9" s="39" customFormat="1" hidden="1" x14ac:dyDescent="0.25">
      <c r="A1" s="39" t="s">
        <v>100</v>
      </c>
    </row>
    <row r="2" spans="1:9" x14ac:dyDescent="0.25"/>
    <row r="3" spans="1:9" x14ac:dyDescent="0.25">
      <c r="B3" s="15" t="s">
        <v>604</v>
      </c>
    </row>
    <row r="4" spans="1:9" x14ac:dyDescent="0.25"/>
    <row r="5" spans="1:9" x14ac:dyDescent="0.25">
      <c r="B5" s="10" t="s">
        <v>606</v>
      </c>
    </row>
    <row r="6" spans="1:9" x14ac:dyDescent="0.25">
      <c r="C6" s="67" t="s">
        <v>614</v>
      </c>
      <c r="D6" s="23"/>
      <c r="E6" s="23"/>
      <c r="F6" s="23"/>
      <c r="G6" s="23"/>
      <c r="H6" s="23"/>
      <c r="I6" s="23"/>
    </row>
    <row r="7" spans="1:9" x14ac:dyDescent="0.25">
      <c r="C7" s="67" t="s">
        <v>133</v>
      </c>
      <c r="D7" s="23"/>
      <c r="E7" s="23"/>
      <c r="F7" s="23"/>
      <c r="G7" s="23"/>
      <c r="H7" s="23"/>
      <c r="I7" s="23"/>
    </row>
    <row r="8" spans="1:9" x14ac:dyDescent="0.25">
      <c r="C8" s="67" t="s">
        <v>615</v>
      </c>
      <c r="D8" s="23"/>
      <c r="E8" s="23"/>
      <c r="F8" s="23"/>
      <c r="G8" s="23"/>
      <c r="H8" s="23"/>
      <c r="I8" s="23"/>
    </row>
    <row r="9" spans="1:9" x14ac:dyDescent="0.25">
      <c r="C9" s="67" t="s">
        <v>616</v>
      </c>
      <c r="D9" s="23"/>
      <c r="E9" s="23"/>
      <c r="F9" s="23"/>
      <c r="G9" s="23"/>
      <c r="H9" s="23"/>
      <c r="I9" s="23"/>
    </row>
    <row r="10" spans="1:9" x14ac:dyDescent="0.25">
      <c r="B10" s="82" t="s">
        <v>134</v>
      </c>
    </row>
    <row r="11" spans="1:9" x14ac:dyDescent="0.25"/>
    <row r="12" spans="1:9" x14ac:dyDescent="0.25">
      <c r="B12" s="10" t="s">
        <v>608</v>
      </c>
      <c r="G12" s="82" t="s">
        <v>612</v>
      </c>
    </row>
    <row r="13" spans="1:9" x14ac:dyDescent="0.25">
      <c r="B13" s="10" t="s">
        <v>609</v>
      </c>
      <c r="D13" s="65" t="s">
        <v>607</v>
      </c>
      <c r="E13" s="43" t="s">
        <v>611</v>
      </c>
      <c r="F13" s="65" t="s">
        <v>610</v>
      </c>
      <c r="G13" s="43" t="s">
        <v>613</v>
      </c>
      <c r="H13" s="12" t="str">
        <f>E13&amp;"."&amp;G13</f>
        <v>emails.resetpwd</v>
      </c>
    </row>
    <row r="14" spans="1:9" x14ac:dyDescent="0.25">
      <c r="B14" s="18" t="s">
        <v>114</v>
      </c>
      <c r="C14" s="17" t="str">
        <f>"php artisan generate:view --path="&amp;A1&amp;"app/views/"&amp;E13&amp;A1&amp;" "&amp;G13</f>
        <v>php artisan generate:view --path="app/views/emails" resetpwd</v>
      </c>
      <c r="D14" s="17"/>
      <c r="E14" s="17"/>
      <c r="F14" s="17"/>
      <c r="G14" s="17"/>
      <c r="H14" s="17"/>
    </row>
    <row r="15" spans="1:9" x14ac:dyDescent="0.25"/>
    <row r="16" spans="1:9" x14ac:dyDescent="0.25">
      <c r="B16" s="10" t="s">
        <v>617</v>
      </c>
    </row>
    <row r="17" spans="1:10" x14ac:dyDescent="0.25">
      <c r="B17" s="10" t="s">
        <v>620</v>
      </c>
      <c r="F17" s="10" t="s">
        <v>621</v>
      </c>
      <c r="G17" s="10" t="s">
        <v>618</v>
      </c>
      <c r="J17" s="10" t="s">
        <v>619</v>
      </c>
    </row>
    <row r="18" spans="1:10" x14ac:dyDescent="0.25">
      <c r="G18" s="46" t="s">
        <v>622</v>
      </c>
      <c r="H18" s="42"/>
      <c r="J18" s="42"/>
    </row>
    <row r="19" spans="1:10" x14ac:dyDescent="0.25">
      <c r="B19" s="75" t="s">
        <v>632</v>
      </c>
      <c r="C19" s="75"/>
      <c r="D19" s="43"/>
      <c r="F19" s="83" t="str">
        <f>IF(B19&lt;&gt;"",LEFT(B19,FIND("=",B19)-1),"")</f>
        <v>$link</v>
      </c>
      <c r="G19" s="46" t="str">
        <f>IF(F19&lt;&gt;"",IF(G18="$mssgdata=array(","",",")&amp;"'"&amp;RIGHT(F19,LEN(F19)-1)&amp;"'   =&gt;   "&amp;F19,"")</f>
        <v>'link'   =&gt;   $link</v>
      </c>
      <c r="H19" s="42"/>
      <c r="J19" s="42" t="str">
        <f>IF(F19&lt;&gt;"","{{"&amp;F19&amp;"}}","")</f>
        <v>{{$link}}</v>
      </c>
    </row>
    <row r="20" spans="1:10" x14ac:dyDescent="0.25">
      <c r="B20" s="75"/>
      <c r="C20" s="75"/>
      <c r="D20" s="43"/>
      <c r="F20" s="83" t="str">
        <f t="shared" ref="F20:F23" si="0">IF(B20&lt;&gt;"",LEFT(B20,FIND("=",B20)-1),"")</f>
        <v/>
      </c>
      <c r="G20" s="46" t="str">
        <f>IF(F20&lt;&gt;"",IF(G19="$mssgdata=array(","",",")&amp;"'"&amp;RIGHT(F20,LEN(F20)-1)&amp;"'   =&gt;   "&amp;F20,"")</f>
        <v/>
      </c>
      <c r="H20" s="42"/>
      <c r="J20" s="42" t="str">
        <f t="shared" ref="J20:J23" si="1">IF(F20&lt;&gt;"","{{"&amp;F20&amp;"}}","")</f>
        <v/>
      </c>
    </row>
    <row r="21" spans="1:10" x14ac:dyDescent="0.25">
      <c r="B21" s="75"/>
      <c r="C21" s="75"/>
      <c r="D21" s="43"/>
      <c r="F21" s="83" t="str">
        <f t="shared" si="0"/>
        <v/>
      </c>
      <c r="G21" s="46" t="str">
        <f t="shared" ref="G21:G23" si="2">IF(F21&lt;&gt;"",IF(G20="$mssgdata=array(","",",")&amp;"'"&amp;RIGHT(F21,LEN(F21)-1)&amp;"'   =&gt;   "&amp;F21,"")</f>
        <v/>
      </c>
      <c r="H21" s="42"/>
      <c r="J21" s="42" t="str">
        <f t="shared" si="1"/>
        <v/>
      </c>
    </row>
    <row r="22" spans="1:10" x14ac:dyDescent="0.25">
      <c r="B22" s="75"/>
      <c r="C22" s="75"/>
      <c r="D22" s="43"/>
      <c r="F22" s="83" t="str">
        <f t="shared" si="0"/>
        <v/>
      </c>
      <c r="G22" s="46" t="str">
        <f t="shared" si="2"/>
        <v/>
      </c>
      <c r="H22" s="42"/>
      <c r="J22" s="42" t="str">
        <f t="shared" si="1"/>
        <v/>
      </c>
    </row>
    <row r="23" spans="1:10" x14ac:dyDescent="0.25">
      <c r="B23" s="75"/>
      <c r="C23" s="75"/>
      <c r="D23" s="43"/>
      <c r="F23" s="83" t="str">
        <f t="shared" si="0"/>
        <v/>
      </c>
      <c r="G23" s="46" t="str">
        <f t="shared" si="2"/>
        <v/>
      </c>
      <c r="H23" s="42"/>
      <c r="J23" s="42" t="str">
        <f t="shared" si="1"/>
        <v/>
      </c>
    </row>
    <row r="24" spans="1:10" x14ac:dyDescent="0.25">
      <c r="G24" s="46" t="s">
        <v>454</v>
      </c>
      <c r="H24" s="42"/>
      <c r="J24" s="42"/>
    </row>
    <row r="25" spans="1:10" x14ac:dyDescent="0.25"/>
    <row r="26" spans="1:10" x14ac:dyDescent="0.25">
      <c r="B26" s="10" t="s">
        <v>623</v>
      </c>
    </row>
    <row r="27" spans="1:10" x14ac:dyDescent="0.25">
      <c r="G27" s="46" t="s">
        <v>624</v>
      </c>
      <c r="H27" s="42"/>
      <c r="I27" s="42"/>
    </row>
    <row r="28" spans="1:10" x14ac:dyDescent="0.25">
      <c r="A28" s="10" t="s">
        <v>626</v>
      </c>
      <c r="B28" s="75" t="s">
        <v>635</v>
      </c>
      <c r="C28" s="75"/>
      <c r="D28" s="43"/>
      <c r="F28" s="83" t="str">
        <f>IF(B28&lt;&gt;"",LEFT(B28,FIND("=",B28)-1),"")</f>
        <v>$email</v>
      </c>
      <c r="G28" s="46" t="str">
        <f>"    'recipient'    =&gt;    "&amp;F28</f>
        <v xml:space="preserve">    'recipient'    =&gt;    $email</v>
      </c>
      <c r="H28" s="42"/>
      <c r="I28" s="42"/>
    </row>
    <row r="29" spans="1:10" x14ac:dyDescent="0.25">
      <c r="A29" s="10" t="s">
        <v>160</v>
      </c>
      <c r="B29" s="75" t="s">
        <v>634</v>
      </c>
      <c r="C29" s="75"/>
      <c r="D29" s="43"/>
      <c r="F29" s="83" t="str">
        <f t="shared" ref="F29:F32" si="3">IF(B29&lt;&gt;"",LEFT(B29,FIND("=",B29)-1),"")</f>
        <v>$name</v>
      </c>
      <c r="G29" s="46" t="str">
        <f>"   , 'r_name'    =&gt;    "&amp;F29</f>
        <v xml:space="preserve">   , 'r_name'    =&gt;    $name</v>
      </c>
      <c r="H29" s="42"/>
      <c r="I29" s="42"/>
    </row>
    <row r="30" spans="1:10" x14ac:dyDescent="0.25">
      <c r="A30" s="10" t="s">
        <v>625</v>
      </c>
      <c r="B30" s="75"/>
      <c r="C30" s="75"/>
      <c r="D30" s="43"/>
      <c r="F30" s="88" t="str">
        <f>IF(B30&lt;&gt;"",LEFT(B30,FIND("=",B30)-1),"'support@healmydisease.com'")</f>
        <v>'support@healmydisease.com'</v>
      </c>
      <c r="G30" s="46" t="str">
        <f>"   , 'sender'    =&gt;    "&amp;F30</f>
        <v xml:space="preserve">   , 'sender'    =&gt;    'support@healmydisease.com'</v>
      </c>
      <c r="H30" s="42"/>
      <c r="I30" s="42"/>
    </row>
    <row r="31" spans="1:10" x14ac:dyDescent="0.25">
      <c r="A31" s="10" t="s">
        <v>160</v>
      </c>
      <c r="B31" s="75"/>
      <c r="C31" s="75"/>
      <c r="D31" s="43"/>
      <c r="F31" s="88" t="str">
        <f>IF(B31&lt;&gt;"",LEFT(B31,FIND("=",B31)-1),"'The HMD team'")</f>
        <v>'The HMD team'</v>
      </c>
      <c r="G31" s="46" t="str">
        <f>"   , 's_name'    =&gt;    "&amp;F31</f>
        <v xml:space="preserve">   , 's_name'    =&gt;    'The HMD team'</v>
      </c>
      <c r="H31" s="42"/>
      <c r="I31" s="42"/>
    </row>
    <row r="32" spans="1:10" x14ac:dyDescent="0.25">
      <c r="A32" s="10" t="s">
        <v>629</v>
      </c>
      <c r="B32" s="75" t="s">
        <v>633</v>
      </c>
      <c r="C32" s="75"/>
      <c r="D32" s="43"/>
      <c r="F32" s="83" t="str">
        <f t="shared" si="3"/>
        <v>$subject</v>
      </c>
      <c r="G32" s="46" t="str">
        <f>"   , 'subject'    =&gt;    "&amp;F32</f>
        <v xml:space="preserve">   , 'subject'    =&gt;    $subject</v>
      </c>
      <c r="H32" s="42"/>
      <c r="I32" s="42"/>
    </row>
    <row r="33" spans="2:9" x14ac:dyDescent="0.25">
      <c r="G33" s="46" t="s">
        <v>454</v>
      </c>
      <c r="H33" s="42"/>
      <c r="I33" s="42"/>
    </row>
    <row r="34" spans="2:9" x14ac:dyDescent="0.25"/>
    <row r="35" spans="2:9" x14ac:dyDescent="0.25"/>
    <row r="36" spans="2:9" x14ac:dyDescent="0.25">
      <c r="B36" s="10" t="s">
        <v>135</v>
      </c>
    </row>
    <row r="37" spans="2:9" x14ac:dyDescent="0.25">
      <c r="C37" s="67" t="str">
        <f>"Mail::send(   '"&amp;H13&amp;"',   $mssgdata,  function($message) use ($maildata) {"</f>
        <v>Mail::send(   'emails.resetpwd',   $mssgdata,  function($message) use ($maildata) {</v>
      </c>
      <c r="D37" s="23"/>
      <c r="E37" s="23"/>
      <c r="F37" s="23"/>
      <c r="G37" s="23"/>
      <c r="H37" s="23"/>
      <c r="I37" s="23"/>
    </row>
    <row r="38" spans="2:9" x14ac:dyDescent="0.25">
      <c r="C38" s="67" t="s">
        <v>627</v>
      </c>
      <c r="D38" s="23"/>
      <c r="E38" s="23"/>
      <c r="F38" s="23"/>
      <c r="G38" s="23"/>
      <c r="H38" s="23"/>
      <c r="I38" s="23"/>
    </row>
    <row r="39" spans="2:9" x14ac:dyDescent="0.25">
      <c r="C39" s="67" t="s">
        <v>628</v>
      </c>
      <c r="D39" s="23"/>
      <c r="E39" s="67"/>
      <c r="F39" s="23"/>
      <c r="G39" s="23"/>
      <c r="H39" s="23"/>
      <c r="I39" s="23"/>
    </row>
    <row r="40" spans="2:9" x14ac:dyDescent="0.25">
      <c r="C40" s="67" t="s">
        <v>637</v>
      </c>
      <c r="D40" s="23"/>
      <c r="E40" s="67"/>
      <c r="F40" s="23"/>
      <c r="G40" s="23"/>
      <c r="H40" s="23"/>
      <c r="I40" s="23"/>
    </row>
    <row r="41" spans="2:9" x14ac:dyDescent="0.25">
      <c r="C41" s="67" t="s">
        <v>136</v>
      </c>
      <c r="D41" s="23"/>
      <c r="E41" s="23"/>
      <c r="F41" s="23"/>
      <c r="G41" s="23"/>
      <c r="H41" s="23"/>
      <c r="I41" s="23"/>
    </row>
    <row r="42" spans="2:9" x14ac:dyDescent="0.25"/>
    <row r="43" spans="2:9" x14ac:dyDescent="0.25">
      <c r="B43" s="10" t="s">
        <v>630</v>
      </c>
    </row>
    <row r="44" spans="2:9" x14ac:dyDescent="0.25">
      <c r="B44" s="10" t="s">
        <v>137</v>
      </c>
    </row>
    <row r="45" spans="2:9" x14ac:dyDescent="0.25"/>
    <row r="46" spans="2:9" hidden="1" x14ac:dyDescent="0.25"/>
    <row r="47" spans="2:9" hidden="1" x14ac:dyDescent="0.25"/>
    <row r="48" spans="2:9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3" customFormat="1" hidden="1" x14ac:dyDescent="0.25">
      <c r="A1" s="13" t="s">
        <v>153</v>
      </c>
      <c r="B1" s="13" t="s">
        <v>163</v>
      </c>
      <c r="C1" s="14" t="s">
        <v>154</v>
      </c>
    </row>
    <row r="2" spans="1:10" s="13" customFormat="1" hidden="1" x14ac:dyDescent="0.25">
      <c r="A2" s="13" t="s">
        <v>154</v>
      </c>
      <c r="B2" s="14" t="s">
        <v>164</v>
      </c>
      <c r="C2" s="14" t="s">
        <v>206</v>
      </c>
    </row>
    <row r="3" spans="1:10" s="13" customFormat="1" hidden="1" x14ac:dyDescent="0.25">
      <c r="A3" s="13" t="s">
        <v>155</v>
      </c>
      <c r="B3" s="13" t="s">
        <v>204</v>
      </c>
    </row>
    <row r="5" spans="1:10" x14ac:dyDescent="0.25">
      <c r="B5" s="10" t="s">
        <v>149</v>
      </c>
    </row>
    <row r="7" spans="1:10" x14ac:dyDescent="0.25">
      <c r="B7" s="10" t="s">
        <v>150</v>
      </c>
      <c r="D7" s="43" t="s">
        <v>328</v>
      </c>
    </row>
    <row r="9" spans="1:10" x14ac:dyDescent="0.25">
      <c r="B9" s="10" t="s">
        <v>151</v>
      </c>
      <c r="D9" s="43" t="s">
        <v>331</v>
      </c>
    </row>
    <row r="11" spans="1:10" x14ac:dyDescent="0.25">
      <c r="B11" s="10" t="s">
        <v>152</v>
      </c>
      <c r="D11" s="16" t="str">
        <f>A1&amp;D7&amp;A2&amp;D9&amp;A3</f>
        <v>Route::('task','taskController');</v>
      </c>
      <c r="E11" s="16"/>
    </row>
    <row r="14" spans="1:10" x14ac:dyDescent="0.25">
      <c r="B14" s="22" t="s">
        <v>156</v>
      </c>
      <c r="C14" s="22" t="s">
        <v>160</v>
      </c>
      <c r="D14" s="22" t="s">
        <v>157</v>
      </c>
      <c r="E14" s="22"/>
      <c r="F14" s="22"/>
      <c r="G14" s="22" t="s">
        <v>158</v>
      </c>
      <c r="H14" s="22"/>
      <c r="I14" s="22" t="s">
        <v>159</v>
      </c>
      <c r="J14" s="22"/>
    </row>
    <row r="15" spans="1:10" x14ac:dyDescent="0.25">
      <c r="B15" s="43" t="s">
        <v>161</v>
      </c>
      <c r="C15" s="43" t="s">
        <v>162</v>
      </c>
      <c r="D15" s="16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16" t="str">
        <f>$B$3&amp;G15&amp;$C$1&amp;C15&amp;$C$2</f>
        <v>{{link_to('task/addtask','addtask'}}</v>
      </c>
    </row>
    <row r="16" spans="1:10" x14ac:dyDescent="0.25">
      <c r="B16" s="43" t="s">
        <v>165</v>
      </c>
      <c r="C16" s="43" t="s">
        <v>162</v>
      </c>
      <c r="D16" s="16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6" zoomScaleNormal="100" workbookViewId="0">
      <selection activeCell="A40" sqref="A40"/>
    </sheetView>
  </sheetViews>
  <sheetFormatPr baseColWidth="10" defaultRowHeight="15" x14ac:dyDescent="0.25"/>
  <cols>
    <col min="1" max="16384" width="11.42578125" style="10"/>
  </cols>
  <sheetData>
    <row r="1" spans="1:7" s="39" customFormat="1" hidden="1" x14ac:dyDescent="0.25">
      <c r="A1" s="39" t="s">
        <v>198</v>
      </c>
      <c r="B1" s="39" t="s">
        <v>217</v>
      </c>
      <c r="C1" s="39" t="s">
        <v>257</v>
      </c>
      <c r="D1" s="39" t="s">
        <v>231</v>
      </c>
      <c r="E1" s="40" t="s">
        <v>154</v>
      </c>
      <c r="F1" s="39" t="s">
        <v>219</v>
      </c>
      <c r="G1" s="40" t="s">
        <v>318</v>
      </c>
    </row>
    <row r="2" spans="1:7" s="39" customFormat="1" hidden="1" x14ac:dyDescent="0.25">
      <c r="A2" s="39" t="s">
        <v>199</v>
      </c>
      <c r="B2" s="39" t="s">
        <v>218</v>
      </c>
      <c r="C2" s="39" t="s">
        <v>227</v>
      </c>
      <c r="D2" s="40" t="s">
        <v>245</v>
      </c>
      <c r="E2" s="40" t="s">
        <v>307</v>
      </c>
      <c r="F2" s="39" t="s">
        <v>311</v>
      </c>
      <c r="G2" s="39" t="s">
        <v>199</v>
      </c>
    </row>
    <row r="3" spans="1:7" s="39" customFormat="1" hidden="1" x14ac:dyDescent="0.25">
      <c r="A3" s="40" t="s">
        <v>200</v>
      </c>
      <c r="B3" s="39" t="s">
        <v>249</v>
      </c>
      <c r="C3" s="39" t="s">
        <v>163</v>
      </c>
      <c r="D3" s="40" t="s">
        <v>246</v>
      </c>
      <c r="E3" s="40" t="s">
        <v>309</v>
      </c>
      <c r="F3" s="40" t="s">
        <v>312</v>
      </c>
      <c r="G3" s="40" t="s">
        <v>320</v>
      </c>
    </row>
    <row r="4" spans="1:7" s="39" customFormat="1" hidden="1" x14ac:dyDescent="0.25">
      <c r="A4" s="39" t="s">
        <v>202</v>
      </c>
      <c r="B4" s="39" t="s">
        <v>219</v>
      </c>
      <c r="C4" s="39" t="s">
        <v>228</v>
      </c>
      <c r="D4" s="40" t="s">
        <v>301</v>
      </c>
      <c r="E4" s="39" t="s">
        <v>325</v>
      </c>
      <c r="F4" s="40" t="s">
        <v>314</v>
      </c>
      <c r="G4" s="40" t="s">
        <v>322</v>
      </c>
    </row>
    <row r="5" spans="1:7" s="39" customFormat="1" hidden="1" x14ac:dyDescent="0.25">
      <c r="A5" s="40" t="s">
        <v>216</v>
      </c>
      <c r="B5" s="39" t="s">
        <v>221</v>
      </c>
      <c r="C5" s="39" t="s">
        <v>229</v>
      </c>
      <c r="D5" s="40" t="s">
        <v>302</v>
      </c>
      <c r="E5" s="39" t="s">
        <v>198</v>
      </c>
      <c r="F5" s="40" t="s">
        <v>315</v>
      </c>
      <c r="G5" s="39" t="s">
        <v>323</v>
      </c>
    </row>
    <row r="8" spans="1:7" x14ac:dyDescent="0.25">
      <c r="B8" s="15" t="s">
        <v>190</v>
      </c>
    </row>
    <row r="9" spans="1:7" x14ac:dyDescent="0.25">
      <c r="B9" s="10" t="s">
        <v>191</v>
      </c>
    </row>
    <row r="10" spans="1:7" x14ac:dyDescent="0.25">
      <c r="B10" s="10" t="s">
        <v>192</v>
      </c>
    </row>
    <row r="11" spans="1:7" x14ac:dyDescent="0.25">
      <c r="B11" s="10" t="s">
        <v>193</v>
      </c>
    </row>
    <row r="13" spans="1:7" x14ac:dyDescent="0.25">
      <c r="B13" s="44" t="s">
        <v>292</v>
      </c>
      <c r="C13" s="44"/>
      <c r="D13" s="44"/>
      <c r="E13" s="44"/>
      <c r="F13" s="44"/>
      <c r="G13" s="44"/>
    </row>
    <row r="14" spans="1:7" x14ac:dyDescent="0.25">
      <c r="B14" s="44" t="s">
        <v>207</v>
      </c>
      <c r="C14" s="44"/>
      <c r="D14" s="44"/>
      <c r="E14" s="44"/>
      <c r="F14" s="44"/>
      <c r="G14" s="44"/>
    </row>
    <row r="16" spans="1:7" x14ac:dyDescent="0.25">
      <c r="B16" s="10" t="s">
        <v>208</v>
      </c>
    </row>
    <row r="17" spans="2:5" x14ac:dyDescent="0.25">
      <c r="B17" s="10" t="s">
        <v>194</v>
      </c>
    </row>
    <row r="18" spans="2:5" x14ac:dyDescent="0.25">
      <c r="B18" s="10" t="s">
        <v>196</v>
      </c>
    </row>
    <row r="19" spans="2:5" x14ac:dyDescent="0.25">
      <c r="B19" s="9" t="s">
        <v>185</v>
      </c>
      <c r="C19" s="9"/>
      <c r="D19" s="12" t="str">
        <f>UPPER(LEFT(B19,1))&amp;RIGHT(B19,LEN(B19)-1)</f>
        <v>Projects</v>
      </c>
    </row>
    <row r="20" spans="2:5" x14ac:dyDescent="0.25">
      <c r="B20" s="10" t="s">
        <v>197</v>
      </c>
    </row>
    <row r="21" spans="2:5" x14ac:dyDescent="0.25">
      <c r="B21" s="9" t="s">
        <v>184</v>
      </c>
      <c r="C21" s="9"/>
    </row>
    <row r="23" spans="2:5" x14ac:dyDescent="0.25">
      <c r="B23" s="41" t="s">
        <v>195</v>
      </c>
      <c r="C23" s="41"/>
      <c r="D23" s="41"/>
      <c r="E23" s="41"/>
    </row>
    <row r="24" spans="2:5" x14ac:dyDescent="0.25">
      <c r="B24" s="41" t="str">
        <f>A1&amp;D206&amp;A2&amp;B21&amp;A3</f>
        <v>$id=::where('p_owner','=',$user)-&gt;get(['id']);</v>
      </c>
      <c r="C24" s="41"/>
      <c r="D24" s="41"/>
      <c r="E24" s="41"/>
    </row>
    <row r="25" spans="2:5" x14ac:dyDescent="0.25">
      <c r="B25" s="41" t="s">
        <v>201</v>
      </c>
      <c r="C25" s="41"/>
      <c r="D25" s="41"/>
      <c r="E25" s="41"/>
    </row>
    <row r="26" spans="2:5" x14ac:dyDescent="0.25">
      <c r="B26" s="41" t="str">
        <f>"$"&amp;LEFT(B19,LEN(B19)-1)&amp;"="&amp;LEFT(D19,LEN(D19)-1)&amp;A4</f>
        <v>$project=Project::find($id);</v>
      </c>
      <c r="C26" s="41"/>
      <c r="D26" s="41"/>
      <c r="E26" s="41"/>
    </row>
    <row r="27" spans="2:5" x14ac:dyDescent="0.25">
      <c r="B27" s="42" t="s">
        <v>203</v>
      </c>
      <c r="C27" s="41"/>
      <c r="D27" s="41"/>
      <c r="E27" s="41"/>
    </row>
    <row r="28" spans="2:5" x14ac:dyDescent="0.25">
      <c r="B28" s="41" t="s">
        <v>39</v>
      </c>
      <c r="C28" s="41"/>
      <c r="D28" s="41"/>
      <c r="E28" s="41"/>
    </row>
    <row r="29" spans="2:5" x14ac:dyDescent="0.25">
      <c r="B29" s="41"/>
      <c r="C29" s="41"/>
      <c r="D29" s="41"/>
      <c r="E29" s="41"/>
    </row>
    <row r="31" spans="2:5" x14ac:dyDescent="0.25">
      <c r="B31" s="10" t="s">
        <v>222</v>
      </c>
    </row>
    <row r="32" spans="2:5" x14ac:dyDescent="0.25">
      <c r="B32" s="10" t="s">
        <v>209</v>
      </c>
    </row>
    <row r="33" spans="2:7" x14ac:dyDescent="0.25">
      <c r="B33" s="10" t="s">
        <v>210</v>
      </c>
      <c r="G33" s="12" t="s">
        <v>213</v>
      </c>
    </row>
    <row r="34" spans="2:7" x14ac:dyDescent="0.25">
      <c r="B34" s="10" t="s">
        <v>211</v>
      </c>
      <c r="D34" s="9" t="s">
        <v>390</v>
      </c>
      <c r="E34" s="9"/>
      <c r="F34" s="12" t="str">
        <f>LEFT(D34,LEN(D34)-1)</f>
        <v>chart</v>
      </c>
      <c r="G34" s="12" t="str">
        <f>UPPER(LEFT(F34,1))&amp;RIGHT(F34,LEN(F34)-1)</f>
        <v>Chart</v>
      </c>
    </row>
    <row r="35" spans="2:7" x14ac:dyDescent="0.25">
      <c r="B35" s="10" t="s">
        <v>220</v>
      </c>
      <c r="D35" s="9" t="s">
        <v>332</v>
      </c>
      <c r="E35" s="9"/>
      <c r="F35" s="12"/>
      <c r="G35" s="12"/>
    </row>
    <row r="36" spans="2:7" x14ac:dyDescent="0.25">
      <c r="B36" s="10" t="s">
        <v>212</v>
      </c>
      <c r="D36" s="9" t="s">
        <v>403</v>
      </c>
      <c r="E36" s="9"/>
      <c r="F36" s="12" t="str">
        <f>LEFT(D36,LEN(D36)-1)</f>
        <v>chapter</v>
      </c>
      <c r="G36" s="12" t="str">
        <f>UPPER(LEFT(F36,1))&amp;RIGHT(F36,LEN(F36)-1)</f>
        <v>Chapter</v>
      </c>
    </row>
    <row r="37" spans="2:7" x14ac:dyDescent="0.25">
      <c r="B37" s="10" t="s">
        <v>244</v>
      </c>
      <c r="D37" s="9" t="s">
        <v>111</v>
      </c>
      <c r="E37" s="9"/>
      <c r="F37" s="12"/>
      <c r="G37" s="12"/>
    </row>
    <row r="39" spans="2:7" x14ac:dyDescent="0.25">
      <c r="B39" s="15" t="s">
        <v>223</v>
      </c>
    </row>
    <row r="40" spans="2:7" x14ac:dyDescent="0.25">
      <c r="B40" s="10" t="s">
        <v>224</v>
      </c>
    </row>
    <row r="41" spans="2:7" x14ac:dyDescent="0.25">
      <c r="B41" s="10" t="s">
        <v>225</v>
      </c>
    </row>
    <row r="42" spans="2:7" x14ac:dyDescent="0.25">
      <c r="B42" s="10" t="s">
        <v>214</v>
      </c>
      <c r="D42" s="16" t="str">
        <f>F34&amp;"_id"</f>
        <v>chart_id</v>
      </c>
      <c r="E42" s="10" t="s">
        <v>215</v>
      </c>
    </row>
    <row r="44" spans="2:7" x14ac:dyDescent="0.25">
      <c r="B44" s="10" t="s">
        <v>226</v>
      </c>
    </row>
    <row r="45" spans="2:7" x14ac:dyDescent="0.25">
      <c r="B45" s="45" t="str">
        <f>C2&amp;G34&amp;".php"</f>
        <v>//app/models/Chart.php</v>
      </c>
    </row>
    <row r="46" spans="2:7" x14ac:dyDescent="0.25">
      <c r="D46" s="16" t="str">
        <f>C3&amp;F36&amp;C4</f>
        <v>public function chapter () {</v>
      </c>
    </row>
    <row r="47" spans="2:7" x14ac:dyDescent="0.25">
      <c r="D47" s="16" t="str">
        <f>C5&amp;G36&amp;"');"</f>
        <v>return $this-&gt;hasMany('Chapter');</v>
      </c>
    </row>
    <row r="48" spans="2:7" x14ac:dyDescent="0.25">
      <c r="D48" s="16" t="s">
        <v>39</v>
      </c>
    </row>
    <row r="50" spans="2:8" x14ac:dyDescent="0.25">
      <c r="B50" s="10" t="s">
        <v>230</v>
      </c>
    </row>
    <row r="51" spans="2:8" x14ac:dyDescent="0.25">
      <c r="B51" s="45" t="str">
        <f>C2&amp;G36&amp;".php"</f>
        <v>//app/models/Chapter.php</v>
      </c>
    </row>
    <row r="52" spans="2:8" x14ac:dyDescent="0.25">
      <c r="D52" s="16" t="str">
        <f>C3&amp;F34&amp;C4</f>
        <v>public function chart () {</v>
      </c>
    </row>
    <row r="53" spans="2:8" x14ac:dyDescent="0.25">
      <c r="D53" s="16" t="str">
        <f>D1&amp;G34&amp;"');"</f>
        <v>return $this-&gt;belongsTo('Chart');</v>
      </c>
    </row>
    <row r="54" spans="2:8" x14ac:dyDescent="0.25">
      <c r="D54" s="16" t="s">
        <v>39</v>
      </c>
    </row>
    <row r="56" spans="2:8" x14ac:dyDescent="0.25">
      <c r="B56" s="10" t="s">
        <v>240</v>
      </c>
    </row>
    <row r="57" spans="2:8" x14ac:dyDescent="0.25">
      <c r="B57" s="10" t="s">
        <v>241</v>
      </c>
    </row>
    <row r="58" spans="2:8" x14ac:dyDescent="0.25">
      <c r="D58" s="16" t="s">
        <v>238</v>
      </c>
    </row>
    <row r="59" spans="2:8" x14ac:dyDescent="0.25">
      <c r="D59" s="16" t="s">
        <v>195</v>
      </c>
      <c r="G59" s="10" t="s">
        <v>232</v>
      </c>
    </row>
    <row r="60" spans="2:8" x14ac:dyDescent="0.25">
      <c r="D60" s="16" t="str">
        <f>"$"&amp;F34&amp;A5</f>
        <v>$chart=Project::all();</v>
      </c>
      <c r="G60" s="10" t="s">
        <v>233</v>
      </c>
    </row>
    <row r="61" spans="2:8" x14ac:dyDescent="0.25">
      <c r="D61" s="16" t="str">
        <f>B1&amp;"$"&amp;F34&amp;B2</f>
        <v>foreach ($chart as $value){</v>
      </c>
      <c r="G61" s="10" t="s">
        <v>234</v>
      </c>
    </row>
    <row r="62" spans="2:8" x14ac:dyDescent="0.25">
      <c r="D62" s="16" t="str">
        <f>"     "&amp;B3&amp;G34&amp;B4</f>
        <v xml:space="preserve">     $row=Chart::find($value-&gt;id);</v>
      </c>
      <c r="G62" s="10" t="s">
        <v>235</v>
      </c>
    </row>
    <row r="63" spans="2:8" x14ac:dyDescent="0.25">
      <c r="D63" s="16" t="str">
        <f>"     "&amp;B5&amp;D35&amp;";"</f>
        <v xml:space="preserve">     $owner=$value-&gt;thetask_id;</v>
      </c>
      <c r="G63" s="10" t="s">
        <v>236</v>
      </c>
    </row>
    <row r="64" spans="2:8" x14ac:dyDescent="0.25">
      <c r="D64" s="16" t="str">
        <f>"     "&amp;C1&amp;F36&amp;";"</f>
        <v xml:space="preserve">     $allowed=$row-&gt;chapter;</v>
      </c>
      <c r="H64" s="10" t="s">
        <v>237</v>
      </c>
    </row>
    <row r="65" spans="2:4" x14ac:dyDescent="0.25">
      <c r="D65" s="16" t="s">
        <v>242</v>
      </c>
    </row>
    <row r="66" spans="2:4" x14ac:dyDescent="0.25">
      <c r="B66" s="10" t="s">
        <v>239</v>
      </c>
    </row>
    <row r="67" spans="2:4" x14ac:dyDescent="0.25">
      <c r="D67" s="16" t="s">
        <v>243</v>
      </c>
    </row>
    <row r="68" spans="2:4" x14ac:dyDescent="0.25">
      <c r="D68" s="16" t="str">
        <f>"          "&amp;D2&amp;D37&amp;D3</f>
        <v xml:space="preserve">          @if($allowed[0]['email']==$user)</v>
      </c>
    </row>
    <row r="69" spans="2:4" x14ac:dyDescent="0.25">
      <c r="D69" s="10" t="s">
        <v>247</v>
      </c>
    </row>
    <row r="70" spans="2:4" x14ac:dyDescent="0.25">
      <c r="D70" s="10" t="s">
        <v>248</v>
      </c>
    </row>
    <row r="71" spans="2:4" x14ac:dyDescent="0.25">
      <c r="D71" s="10" t="s">
        <v>250</v>
      </c>
    </row>
    <row r="72" spans="2:4" x14ac:dyDescent="0.25">
      <c r="D72" s="10" t="s">
        <v>253</v>
      </c>
    </row>
    <row r="73" spans="2:4" x14ac:dyDescent="0.25">
      <c r="D73" s="10" t="s">
        <v>251</v>
      </c>
    </row>
    <row r="74" spans="2:4" x14ac:dyDescent="0.25">
      <c r="D74" s="10" t="s">
        <v>252</v>
      </c>
    </row>
    <row r="75" spans="2:4" x14ac:dyDescent="0.25">
      <c r="D75" s="16" t="s">
        <v>254</v>
      </c>
    </row>
    <row r="76" spans="2:4" x14ac:dyDescent="0.25">
      <c r="D76" s="16" t="s">
        <v>255</v>
      </c>
    </row>
    <row r="77" spans="2:4" x14ac:dyDescent="0.25">
      <c r="D77" s="10" t="s">
        <v>247</v>
      </c>
    </row>
    <row r="78" spans="2:4" x14ac:dyDescent="0.25">
      <c r="D78" s="10" t="s">
        <v>248</v>
      </c>
    </row>
    <row r="79" spans="2:4" x14ac:dyDescent="0.25">
      <c r="D79" s="10" t="s">
        <v>250</v>
      </c>
    </row>
    <row r="80" spans="2:4" x14ac:dyDescent="0.25">
      <c r="D80" s="10" t="s">
        <v>253</v>
      </c>
    </row>
    <row r="81" spans="1:6" x14ac:dyDescent="0.25">
      <c r="D81" s="10" t="s">
        <v>251</v>
      </c>
    </row>
    <row r="82" spans="1:6" x14ac:dyDescent="0.25">
      <c r="D82" s="10" t="s">
        <v>252</v>
      </c>
    </row>
    <row r="84" spans="1:6" x14ac:dyDescent="0.25">
      <c r="D84" s="16" t="s">
        <v>256</v>
      </c>
    </row>
    <row r="85" spans="1:6" x14ac:dyDescent="0.25">
      <c r="D85" s="16" t="s">
        <v>258</v>
      </c>
    </row>
    <row r="90" spans="1:6" x14ac:dyDescent="0.25">
      <c r="A90" s="10" t="s">
        <v>279</v>
      </c>
    </row>
    <row r="91" spans="1:6" x14ac:dyDescent="0.25">
      <c r="A91" s="10" t="s">
        <v>280</v>
      </c>
      <c r="C91" s="10" t="s">
        <v>281</v>
      </c>
    </row>
    <row r="93" spans="1:6" x14ac:dyDescent="0.25">
      <c r="A93" s="10" t="s">
        <v>282</v>
      </c>
    </row>
    <row r="95" spans="1:6" x14ac:dyDescent="0.25">
      <c r="A95" s="10" t="s">
        <v>283</v>
      </c>
      <c r="C95" s="9" t="s">
        <v>262</v>
      </c>
      <c r="E95" s="12" t="str">
        <f>LEFT(C95,LEN(C95)-1)</f>
        <v>thetask</v>
      </c>
      <c r="F95" s="12" t="str">
        <f>UPPER(LEFT(E95,1))&amp;RIGHT(E95,LEN(E95)-1)</f>
        <v>Thetask</v>
      </c>
    </row>
    <row r="96" spans="1:6" x14ac:dyDescent="0.25">
      <c r="A96" s="10" t="s">
        <v>284</v>
      </c>
      <c r="C96" s="9" t="s">
        <v>185</v>
      </c>
      <c r="E96" s="12" t="str">
        <f>LEFT(C96,LEN(C96)-1)</f>
        <v>project</v>
      </c>
      <c r="F96" s="12" t="str">
        <f>UPPER(LEFT(E96,1))&amp;RIGHT(E96,LEN(E96)-1)</f>
        <v>Project</v>
      </c>
    </row>
    <row r="97" spans="1:9" x14ac:dyDescent="0.25">
      <c r="A97" s="10" t="s">
        <v>287</v>
      </c>
      <c r="C97" s="9" t="s">
        <v>184</v>
      </c>
      <c r="E97" s="12"/>
      <c r="F97" s="12"/>
    </row>
    <row r="98" spans="1:9" x14ac:dyDescent="0.25">
      <c r="A98" s="10" t="s">
        <v>288</v>
      </c>
      <c r="C98" s="9" t="s">
        <v>289</v>
      </c>
      <c r="D98" s="10" t="s">
        <v>290</v>
      </c>
      <c r="E98" s="12"/>
      <c r="F98" s="12"/>
    </row>
    <row r="100" spans="1:9" x14ac:dyDescent="0.25">
      <c r="A100" s="10" t="s">
        <v>285</v>
      </c>
      <c r="C100" s="9" t="s">
        <v>286</v>
      </c>
    </row>
    <row r="102" spans="1:9" x14ac:dyDescent="0.25">
      <c r="B102" s="16" t="str">
        <f>"$"&amp;C100&amp;C95&amp;"="&amp;F96&amp;"::has('"&amp;E95&amp;"')"</f>
        <v>$ownthetasks=Project::has('thetask')</v>
      </c>
    </row>
    <row r="103" spans="1:9" x14ac:dyDescent="0.25">
      <c r="B103" s="16" t="str">
        <f>"-&gt;where('"&amp;C97&amp;"','=',"&amp;C98&amp;")"</f>
        <v>-&gt;where('p_owner','=',$logged)</v>
      </c>
    </row>
    <row r="104" spans="1:9" x14ac:dyDescent="0.25">
      <c r="B104" s="19" t="s">
        <v>291</v>
      </c>
    </row>
    <row r="107" spans="1:9" x14ac:dyDescent="0.25">
      <c r="A107" s="49" t="s">
        <v>293</v>
      </c>
      <c r="B107" s="49"/>
      <c r="C107" s="49"/>
      <c r="D107" s="49"/>
      <c r="E107" s="49"/>
      <c r="F107" s="49"/>
      <c r="G107" s="49"/>
      <c r="H107" s="49"/>
      <c r="I107" s="49"/>
    </row>
    <row r="108" spans="1:9" x14ac:dyDescent="0.25">
      <c r="A108" s="49" t="s">
        <v>294</v>
      </c>
      <c r="B108" s="49"/>
      <c r="C108" s="49"/>
      <c r="D108" s="49"/>
      <c r="E108" s="49"/>
      <c r="F108" s="49"/>
      <c r="G108" s="49"/>
      <c r="H108" s="49"/>
      <c r="I108" s="49"/>
    </row>
    <row r="109" spans="1:9" x14ac:dyDescent="0.25">
      <c r="F109" s="10" t="s">
        <v>156</v>
      </c>
      <c r="G109" s="10" t="s">
        <v>299</v>
      </c>
    </row>
    <row r="110" spans="1:9" x14ac:dyDescent="0.25">
      <c r="A110" s="10" t="s">
        <v>295</v>
      </c>
      <c r="D110" s="43" t="s">
        <v>262</v>
      </c>
      <c r="E110" s="43"/>
      <c r="F110" s="12" t="str">
        <f>LEFT(D110,LEN(D110)-1)</f>
        <v>thetask</v>
      </c>
      <c r="G110" s="12" t="str">
        <f>UPPER(LEFT(F110,1))&amp;RIGHT(F110,LEN(F110)-1)</f>
        <v>Thetask</v>
      </c>
    </row>
    <row r="111" spans="1:9" x14ac:dyDescent="0.25">
      <c r="A111" s="10" t="s">
        <v>316</v>
      </c>
      <c r="D111" s="43" t="s">
        <v>317</v>
      </c>
      <c r="E111" s="43"/>
      <c r="F111" s="12"/>
      <c r="G111" s="12"/>
    </row>
    <row r="112" spans="1:9" x14ac:dyDescent="0.25">
      <c r="A112" s="10" t="s">
        <v>296</v>
      </c>
      <c r="D112" s="43" t="s">
        <v>185</v>
      </c>
      <c r="E112" s="43"/>
      <c r="F112" s="12" t="str">
        <f>LEFT(D112,LEN(D112)-1)</f>
        <v>project</v>
      </c>
      <c r="G112" s="12" t="str">
        <f>UPPER(LEFT(F112,1))&amp;RIGHT(F112,LEN(F112)-1)</f>
        <v>Project</v>
      </c>
    </row>
    <row r="113" spans="1:7" x14ac:dyDescent="0.25">
      <c r="A113" s="10" t="s">
        <v>313</v>
      </c>
      <c r="D113" s="43" t="s">
        <v>184</v>
      </c>
      <c r="E113" s="43"/>
      <c r="F113" s="12"/>
      <c r="G113" s="12"/>
    </row>
    <row r="114" spans="1:7" x14ac:dyDescent="0.25">
      <c r="A114" s="10" t="s">
        <v>297</v>
      </c>
      <c r="D114" s="43" t="s">
        <v>298</v>
      </c>
      <c r="E114" s="43"/>
      <c r="F114" s="12" t="str">
        <f>LEFT(D114,LEN(D114)-1)</f>
        <v>projectpermission</v>
      </c>
      <c r="G114" s="12" t="str">
        <f>UPPER(LEFT(F114,1))&amp;RIGHT(F114,LEN(F114)-1)</f>
        <v>Projectpermission</v>
      </c>
    </row>
    <row r="115" spans="1:7" x14ac:dyDescent="0.25">
      <c r="A115" s="10" t="s">
        <v>313</v>
      </c>
      <c r="D115" s="43" t="s">
        <v>111</v>
      </c>
      <c r="E115" s="43"/>
      <c r="F115" s="12"/>
      <c r="G115" s="12"/>
    </row>
    <row r="116" spans="1:7" x14ac:dyDescent="0.25">
      <c r="A116" s="10" t="s">
        <v>321</v>
      </c>
      <c r="D116" s="43" t="s">
        <v>263</v>
      </c>
      <c r="E116" s="43"/>
      <c r="F116" s="12"/>
      <c r="G116" s="12"/>
    </row>
    <row r="117" spans="1:7" x14ac:dyDescent="0.25">
      <c r="A117" s="10" t="s">
        <v>304</v>
      </c>
      <c r="D117" s="43" t="s">
        <v>303</v>
      </c>
      <c r="E117" s="43"/>
      <c r="F117" s="12"/>
      <c r="G117" s="12"/>
    </row>
    <row r="118" spans="1:7" x14ac:dyDescent="0.25">
      <c r="A118" s="10" t="s">
        <v>305</v>
      </c>
      <c r="D118" s="43" t="s">
        <v>306</v>
      </c>
      <c r="E118" s="43"/>
      <c r="F118" s="12"/>
      <c r="G118" s="12"/>
    </row>
    <row r="120" spans="1:7" x14ac:dyDescent="0.25">
      <c r="A120" s="10" t="s">
        <v>300</v>
      </c>
    </row>
    <row r="121" spans="1:7" x14ac:dyDescent="0.25">
      <c r="B121" s="16" t="str">
        <f>D4&amp;F110&amp;"',"&amp;G110&amp;D5&amp;D117&amp;E1&amp;D118&amp;E2</f>
        <v>-&gt;with('thetask',Thetask::orderBy('score','desc')-&gt;get())</v>
      </c>
    </row>
    <row r="122" spans="1:7" x14ac:dyDescent="0.25">
      <c r="A122" s="20"/>
    </row>
    <row r="124" spans="1:7" x14ac:dyDescent="0.25">
      <c r="A124" s="10" t="s">
        <v>308</v>
      </c>
    </row>
    <row r="125" spans="1:7" x14ac:dyDescent="0.25">
      <c r="B125" s="16" t="str">
        <f>E3&amp;F110&amp;E4</f>
        <v xml:space="preserve">@foreach($thetask as $value) </v>
      </c>
    </row>
    <row r="126" spans="1:7" x14ac:dyDescent="0.25">
      <c r="B126" s="16" t="s">
        <v>310</v>
      </c>
    </row>
    <row r="127" spans="1:7" x14ac:dyDescent="0.25">
      <c r="B127" s="16" t="str">
        <f>"     "&amp;E5&amp;G110&amp;F1</f>
        <v xml:space="preserve">     $id=Thetask::find($value-&gt;id);</v>
      </c>
    </row>
    <row r="128" spans="1:7" x14ac:dyDescent="0.25">
      <c r="B128" s="16" t="str">
        <f>"     "&amp;F2&amp;F112&amp;F3&amp;F112&amp;";"</f>
        <v xml:space="preserve">     $filterproject=$value-&gt;project;</v>
      </c>
    </row>
    <row r="129" spans="2:7" x14ac:dyDescent="0.25">
      <c r="B129" s="16" t="str">
        <f>"     "&amp;F2&amp;F112&amp;"id="&amp;F2&amp;F112&amp;"-&gt;id;"</f>
        <v xml:space="preserve">     $filterprojectid=$filterproject-&gt;id;</v>
      </c>
    </row>
    <row r="130" spans="2:7" x14ac:dyDescent="0.25">
      <c r="B130" s="16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16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16" t="s">
        <v>324</v>
      </c>
    </row>
    <row r="133" spans="2:7" x14ac:dyDescent="0.25">
      <c r="B133" s="16"/>
    </row>
    <row r="134" spans="2:7" x14ac:dyDescent="0.25">
      <c r="B134" s="16" t="str">
        <f>"     @if("&amp;F2&amp;F114&amp;"['"&amp;D115&amp;"']=="&amp;F2&amp;")"</f>
        <v xml:space="preserve">     @if($filterprojectpermission['email']==$filter)</v>
      </c>
      <c r="G134" s="20"/>
    </row>
    <row r="135" spans="2:7" x14ac:dyDescent="0.25">
      <c r="B135" s="16" t="s">
        <v>326</v>
      </c>
    </row>
    <row r="136" spans="2:7" x14ac:dyDescent="0.25">
      <c r="B136" s="16" t="s">
        <v>327</v>
      </c>
    </row>
    <row r="137" spans="2:7" x14ac:dyDescent="0.25">
      <c r="B137" s="16"/>
    </row>
    <row r="138" spans="2:7" x14ac:dyDescent="0.25">
      <c r="B138" s="16" t="str">
        <f>"     @endif"</f>
        <v xml:space="preserve">     @endif</v>
      </c>
    </row>
    <row r="139" spans="2:7" x14ac:dyDescent="0.25">
      <c r="B139" s="16"/>
    </row>
    <row r="140" spans="2:7" x14ac:dyDescent="0.25">
      <c r="B140" s="16" t="str">
        <f>"        "&amp;F4&amp;F2&amp;F112&amp;"-&gt;"&amp;D113&amp;"))"</f>
        <v xml:space="preserve">        @if(isset($filterproject-&gt;p_owner))</v>
      </c>
    </row>
    <row r="141" spans="2:7" x14ac:dyDescent="0.25">
      <c r="B141" s="16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16" t="s">
        <v>326</v>
      </c>
    </row>
    <row r="143" spans="2:7" x14ac:dyDescent="0.25">
      <c r="B143" s="16" t="s">
        <v>327</v>
      </c>
    </row>
    <row r="144" spans="2:7" x14ac:dyDescent="0.25">
      <c r="B144" s="16" t="str">
        <f>"           @endif"</f>
        <v xml:space="preserve">           @endif</v>
      </c>
    </row>
    <row r="145" spans="2:2" x14ac:dyDescent="0.25">
      <c r="B145" s="16"/>
    </row>
    <row r="146" spans="2:2" x14ac:dyDescent="0.25">
      <c r="B146" s="16" t="str">
        <f>"     @endif"</f>
        <v xml:space="preserve">     @endif</v>
      </c>
    </row>
    <row r="147" spans="2:2" x14ac:dyDescent="0.25">
      <c r="B147" s="19" t="s">
        <v>319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3" t="s">
        <v>372</v>
      </c>
    </row>
    <row r="3" spans="1:5" s="51" customFormat="1" x14ac:dyDescent="0.25">
      <c r="A3" s="51" t="s">
        <v>371</v>
      </c>
    </row>
    <row r="4" spans="1:5" s="51" customFormat="1" x14ac:dyDescent="0.25">
      <c r="A4" s="51" t="s">
        <v>366</v>
      </c>
    </row>
    <row r="5" spans="1:5" s="51" customFormat="1" x14ac:dyDescent="0.25">
      <c r="A5" s="51" t="s">
        <v>370</v>
      </c>
    </row>
    <row r="6" spans="1:5" s="51" customFormat="1" x14ac:dyDescent="0.25">
      <c r="A6" s="51" t="s">
        <v>39</v>
      </c>
    </row>
    <row r="7" spans="1:5" x14ac:dyDescent="0.25">
      <c r="A7" s="51"/>
      <c r="B7" s="51"/>
      <c r="C7" s="51"/>
      <c r="D7" s="51"/>
      <c r="E7" s="51"/>
    </row>
    <row r="8" spans="1:5" s="51" customFormat="1" x14ac:dyDescent="0.25">
      <c r="A8" s="51" t="s">
        <v>369</v>
      </c>
    </row>
    <row r="9" spans="1:5" x14ac:dyDescent="0.25">
      <c r="A9" s="51"/>
      <c r="B9" s="51"/>
      <c r="C9" s="51"/>
      <c r="D9" s="51"/>
      <c r="E9" s="51"/>
    </row>
    <row r="10" spans="1:5" s="51" customFormat="1" x14ac:dyDescent="0.25">
      <c r="A10" s="51" t="s">
        <v>368</v>
      </c>
    </row>
    <row r="11" spans="1:5" x14ac:dyDescent="0.25">
      <c r="A11" s="51"/>
      <c r="B11" s="51"/>
      <c r="C11" s="51"/>
      <c r="D11" s="51"/>
      <c r="E11" s="51"/>
    </row>
    <row r="12" spans="1:5" x14ac:dyDescent="0.25">
      <c r="A12" s="51"/>
      <c r="B12" s="51"/>
      <c r="C12" s="51"/>
      <c r="D12" s="51"/>
      <c r="E12" s="51"/>
    </row>
    <row r="13" spans="1:5" s="51" customFormat="1" x14ac:dyDescent="0.25">
      <c r="A13" s="51" t="s">
        <v>367</v>
      </c>
    </row>
    <row r="14" spans="1:5" s="51" customFormat="1" x14ac:dyDescent="0.25">
      <c r="A14" s="51" t="s">
        <v>366</v>
      </c>
    </row>
    <row r="15" spans="1:5" s="51" customFormat="1" x14ac:dyDescent="0.25">
      <c r="A15" s="51" t="s">
        <v>365</v>
      </c>
    </row>
    <row r="16" spans="1:5" s="51" customFormat="1" x14ac:dyDescent="0.25">
      <c r="A16" s="51" t="s">
        <v>364</v>
      </c>
    </row>
    <row r="19" spans="1:1" x14ac:dyDescent="0.25">
      <c r="A19" s="3" t="s">
        <v>363</v>
      </c>
    </row>
    <row r="20" spans="1:1" x14ac:dyDescent="0.25">
      <c r="A20" s="3" t="s">
        <v>362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/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130</v>
      </c>
    </row>
    <row r="15" spans="1:1" x14ac:dyDescent="0.25">
      <c r="A15" s="3" t="s">
        <v>131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7" zoomScaleNormal="100" workbookViewId="0"/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3" customFormat="1" hidden="1" x14ac:dyDescent="0.25">
      <c r="A1" s="13" t="s">
        <v>109</v>
      </c>
      <c r="B1" s="13" t="s">
        <v>89</v>
      </c>
      <c r="C1" s="13" t="s">
        <v>154</v>
      </c>
    </row>
    <row r="2" spans="1:7" s="13" customFormat="1" hidden="1" x14ac:dyDescent="0.25">
      <c r="A2" s="13" t="s">
        <v>110</v>
      </c>
      <c r="B2" s="14" t="s">
        <v>90</v>
      </c>
      <c r="C2" s="13" t="s">
        <v>155</v>
      </c>
    </row>
    <row r="3" spans="1:7" s="13" customFormat="1" hidden="1" x14ac:dyDescent="0.25">
      <c r="B3" s="13" t="s">
        <v>100</v>
      </c>
      <c r="C3" s="13" t="s">
        <v>329</v>
      </c>
    </row>
    <row r="4" spans="1:7" s="13" customFormat="1" hidden="1" x14ac:dyDescent="0.25">
      <c r="A4" s="13" t="s">
        <v>101</v>
      </c>
      <c r="B4" s="13" t="s">
        <v>102</v>
      </c>
      <c r="C4" s="13" t="s">
        <v>330</v>
      </c>
    </row>
    <row r="5" spans="1:7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7" s="13" customFormat="1" hidden="1" x14ac:dyDescent="0.25">
      <c r="A6" s="13" t="s">
        <v>88</v>
      </c>
      <c r="B6" s="13" t="s">
        <v>278</v>
      </c>
      <c r="C6" s="13" t="s">
        <v>100</v>
      </c>
    </row>
    <row r="7" spans="1:7" x14ac:dyDescent="0.25"/>
    <row r="8" spans="1:7" x14ac:dyDescent="0.25">
      <c r="B8" s="10" t="s">
        <v>104</v>
      </c>
    </row>
    <row r="9" spans="1:7" x14ac:dyDescent="0.25">
      <c r="B9" s="17" t="s">
        <v>105</v>
      </c>
      <c r="C9" s="17"/>
      <c r="D9" s="17"/>
      <c r="E9" s="17"/>
    </row>
    <row r="10" spans="1:7" x14ac:dyDescent="0.25">
      <c r="B10" s="16" t="s">
        <v>103</v>
      </c>
    </row>
    <row r="11" spans="1:7" x14ac:dyDescent="0.25"/>
    <row r="12" spans="1:7" x14ac:dyDescent="0.25">
      <c r="B12" s="10" t="s">
        <v>426</v>
      </c>
    </row>
    <row r="13" spans="1:7" x14ac:dyDescent="0.25">
      <c r="B13" s="10" t="s">
        <v>108</v>
      </c>
      <c r="C13" s="9" t="s">
        <v>573</v>
      </c>
      <c r="D13" s="9"/>
    </row>
    <row r="14" spans="1:7" x14ac:dyDescent="0.25">
      <c r="B14" s="10" t="s">
        <v>261</v>
      </c>
      <c r="C14" s="9" t="s">
        <v>417</v>
      </c>
      <c r="D14" s="9"/>
    </row>
    <row r="15" spans="1:7" x14ac:dyDescent="0.25">
      <c r="B15" s="17" t="s">
        <v>86</v>
      </c>
      <c r="C15" s="17" t="str">
        <f>+"cd c:\wamp\www\"&amp;C14</f>
        <v>cd c:\wamp\www\github</v>
      </c>
      <c r="D15" s="17"/>
      <c r="E15" s="17"/>
      <c r="F15" s="17"/>
      <c r="G15" s="17"/>
    </row>
    <row r="16" spans="1:7" x14ac:dyDescent="0.25">
      <c r="B16" s="17" t="s">
        <v>86</v>
      </c>
      <c r="C16" s="17" t="str">
        <f>"mkdir "&amp;C13</f>
        <v>mkdir t3</v>
      </c>
      <c r="D16" s="77"/>
      <c r="E16" s="17"/>
      <c r="F16" s="17"/>
      <c r="G16" s="17"/>
    </row>
    <row r="17" spans="2:7" x14ac:dyDescent="0.25">
      <c r="B17" s="17" t="s">
        <v>86</v>
      </c>
      <c r="C17" s="17" t="str">
        <f>"cd "&amp;C13</f>
        <v>cd t3</v>
      </c>
      <c r="D17" s="17"/>
      <c r="E17" s="17"/>
      <c r="F17" s="17"/>
      <c r="G17" s="17"/>
    </row>
    <row r="18" spans="2:7" x14ac:dyDescent="0.25"/>
    <row r="19" spans="2:7" x14ac:dyDescent="0.25">
      <c r="B19" s="10" t="s">
        <v>599</v>
      </c>
    </row>
    <row r="20" spans="2:7" x14ac:dyDescent="0.25">
      <c r="B20" s="17" t="s">
        <v>86</v>
      </c>
      <c r="C20" s="17" t="s">
        <v>9</v>
      </c>
      <c r="D20" s="17"/>
      <c r="E20" s="17"/>
      <c r="F20" s="17"/>
      <c r="G20" s="17"/>
    </row>
    <row r="21" spans="2:7" x14ac:dyDescent="0.25">
      <c r="B21" s="17" t="s">
        <v>86</v>
      </c>
      <c r="C21" s="17" t="s">
        <v>52</v>
      </c>
      <c r="D21" s="17"/>
      <c r="E21" s="17"/>
      <c r="F21" s="17"/>
      <c r="G21" s="17"/>
    </row>
    <row r="22" spans="2:7" x14ac:dyDescent="0.25"/>
    <row r="23" spans="2:7" x14ac:dyDescent="0.25">
      <c r="B23" s="10" t="s">
        <v>427</v>
      </c>
    </row>
    <row r="24" spans="2:7" x14ac:dyDescent="0.25">
      <c r="B24" s="17" t="s">
        <v>86</v>
      </c>
      <c r="C24" s="17" t="str">
        <f>"cd c:\wamp\www\"&amp;C14&amp;"\"&amp;C13</f>
        <v>cd c:\wamp\www\github\t3</v>
      </c>
      <c r="D24" s="17"/>
      <c r="E24" s="17"/>
      <c r="F24" s="17"/>
      <c r="G24" s="17"/>
    </row>
    <row r="25" spans="2:7" x14ac:dyDescent="0.25"/>
    <row r="26" spans="2:7" x14ac:dyDescent="0.25">
      <c r="B26" s="10" t="s">
        <v>388</v>
      </c>
    </row>
    <row r="27" spans="2:7" x14ac:dyDescent="0.25">
      <c r="B27" s="52" t="s">
        <v>114</v>
      </c>
      <c r="C27" s="53" t="s">
        <v>389</v>
      </c>
      <c r="D27" s="54"/>
    </row>
    <row r="28" spans="2:7" x14ac:dyDescent="0.25"/>
    <row r="29" spans="2:7" x14ac:dyDescent="0.25">
      <c r="B29" s="10" t="s">
        <v>374</v>
      </c>
    </row>
    <row r="30" spans="2:7" x14ac:dyDescent="0.25">
      <c r="B30" s="52" t="s">
        <v>114</v>
      </c>
      <c r="C30" s="53" t="s">
        <v>54</v>
      </c>
      <c r="D30" s="54"/>
    </row>
    <row r="31" spans="2:7" x14ac:dyDescent="0.25">
      <c r="B31" s="10" t="s">
        <v>375</v>
      </c>
    </row>
    <row r="32" spans="2:7" x14ac:dyDescent="0.25"/>
    <row r="33" spans="2:2" ht="21" x14ac:dyDescent="0.35">
      <c r="B33" s="80" t="s">
        <v>598</v>
      </c>
    </row>
    <row r="34" spans="2:2" x14ac:dyDescent="0.25">
      <c r="B34" s="73"/>
    </row>
    <row r="35" spans="2:2" x14ac:dyDescent="0.25">
      <c r="B35" s="73"/>
    </row>
    <row r="36" spans="2:2" hidden="1" x14ac:dyDescent="0.25"/>
    <row r="37" spans="2:2" hidden="1" x14ac:dyDescent="0.25"/>
    <row r="38" spans="2:2" hidden="1" x14ac:dyDescent="0.25"/>
    <row r="39" spans="2:2" hidden="1" x14ac:dyDescent="0.25"/>
    <row r="40" spans="2:2" hidden="1" x14ac:dyDescent="0.25"/>
    <row r="41" spans="2:2" hidden="1" x14ac:dyDescent="0.25"/>
    <row r="42" spans="2:2" hidden="1" x14ac:dyDescent="0.25"/>
    <row r="43" spans="2:2" hidden="1" x14ac:dyDescent="0.25"/>
    <row r="44" spans="2:2" hidden="1" x14ac:dyDescent="0.25"/>
    <row r="45" spans="2:2" hidden="1" x14ac:dyDescent="0.25"/>
    <row r="46" spans="2:2" hidden="1" x14ac:dyDescent="0.25"/>
    <row r="47" spans="2:2" hidden="1" x14ac:dyDescent="0.25"/>
    <row r="48" spans="2:2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dataValidations count="1">
    <dataValidation type="list" allowBlank="1" showInputMessage="1" showErrorMessage="1" errorTitle="Error" error="Select from list" sqref="C14">
      <formula1>#REF!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A7" zoomScaleNormal="100" workbookViewId="0">
      <selection activeCell="C55" sqref="C55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3" t="s">
        <v>593</v>
      </c>
    </row>
    <row r="13" spans="1:5" hidden="1" x14ac:dyDescent="0.25"/>
    <row r="14" spans="1:5" hidden="1" x14ac:dyDescent="0.25">
      <c r="B14" s="10" t="s">
        <v>108</v>
      </c>
      <c r="C14" s="74" t="str">
        <f>'Start project'!C13</f>
        <v>t3</v>
      </c>
      <c r="D14" s="23"/>
    </row>
    <row r="15" spans="1:5" hidden="1" x14ac:dyDescent="0.25">
      <c r="B15" s="10" t="s">
        <v>261</v>
      </c>
      <c r="C15" s="74" t="str">
        <f>'Start project'!C14</f>
        <v>github</v>
      </c>
      <c r="D15" s="23"/>
    </row>
    <row r="16" spans="1:5" x14ac:dyDescent="0.25"/>
    <row r="17" spans="2:7" x14ac:dyDescent="0.25">
      <c r="B17" s="10" t="s">
        <v>594</v>
      </c>
    </row>
    <row r="18" spans="2:7" x14ac:dyDescent="0.25">
      <c r="B18" s="17" t="s">
        <v>86</v>
      </c>
      <c r="C18" s="17" t="str">
        <f>"cd c:\wamp\www\"&amp;C15&amp;"\"&amp;C14</f>
        <v>cd c:\wamp\www\github\t3</v>
      </c>
      <c r="D18" s="17"/>
      <c r="E18" s="17"/>
      <c r="F18" s="17"/>
      <c r="G18" s="17"/>
    </row>
    <row r="19" spans="2:7" x14ac:dyDescent="0.25">
      <c r="B19" s="17" t="s">
        <v>86</v>
      </c>
      <c r="C19" s="17" t="s">
        <v>52</v>
      </c>
      <c r="D19" s="17"/>
      <c r="E19" s="17"/>
      <c r="F19" s="17"/>
      <c r="G19" s="17"/>
    </row>
    <row r="20" spans="2:7" x14ac:dyDescent="0.25"/>
    <row r="21" spans="2:7" x14ac:dyDescent="0.25">
      <c r="B21" s="10" t="s">
        <v>595</v>
      </c>
    </row>
    <row r="22" spans="2:7" x14ac:dyDescent="0.25">
      <c r="B22" s="17" t="s">
        <v>86</v>
      </c>
      <c r="C22" s="17" t="str">
        <f>"cd c:\wamp\www\"&amp;C15&amp;"\"&amp;C14</f>
        <v>cd c:\wamp\www\github\t3</v>
      </c>
      <c r="D22" s="17"/>
      <c r="E22" s="17"/>
      <c r="F22" s="17"/>
      <c r="G22" s="17"/>
    </row>
    <row r="23" spans="2:7" x14ac:dyDescent="0.25">
      <c r="B23" s="17" t="s">
        <v>86</v>
      </c>
      <c r="C23" s="17" t="s">
        <v>9</v>
      </c>
      <c r="D23" s="17"/>
      <c r="E23" s="17"/>
      <c r="F23" s="17"/>
      <c r="G23" s="17"/>
    </row>
    <row r="24" spans="2:7" x14ac:dyDescent="0.25"/>
    <row r="25" spans="2:7" s="79" customFormat="1" x14ac:dyDescent="0.25"/>
    <row r="26" spans="2:7" x14ac:dyDescent="0.25">
      <c r="B26" s="10" t="s">
        <v>374</v>
      </c>
    </row>
    <row r="27" spans="2:7" x14ac:dyDescent="0.25">
      <c r="B27" s="52" t="s">
        <v>114</v>
      </c>
      <c r="C27" s="53" t="s">
        <v>54</v>
      </c>
      <c r="D27" s="54"/>
    </row>
    <row r="28" spans="2:7" x14ac:dyDescent="0.25">
      <c r="B28" s="10" t="s">
        <v>375</v>
      </c>
    </row>
    <row r="29" spans="2:7" x14ac:dyDescent="0.25"/>
    <row r="30" spans="2:7" x14ac:dyDescent="0.25">
      <c r="B30" s="10" t="s">
        <v>596</v>
      </c>
    </row>
    <row r="31" spans="2:7" x14ac:dyDescent="0.25">
      <c r="B31" s="10" t="s">
        <v>383</v>
      </c>
      <c r="C31" s="19"/>
      <c r="E31" s="19"/>
    </row>
    <row r="32" spans="2:7" x14ac:dyDescent="0.25">
      <c r="C32" s="19"/>
      <c r="E32" s="19"/>
    </row>
    <row r="33" spans="2:8" x14ac:dyDescent="0.25">
      <c r="B33" s="10" t="s">
        <v>378</v>
      </c>
      <c r="C33" s="19"/>
      <c r="D33" s="9" t="s">
        <v>636</v>
      </c>
      <c r="E33" s="19" t="s">
        <v>376</v>
      </c>
      <c r="G33" s="12" t="s">
        <v>377</v>
      </c>
      <c r="H33" s="62" t="str">
        <f>D33</f>
        <v>emailtester</v>
      </c>
    </row>
    <row r="34" spans="2:8" x14ac:dyDescent="0.25">
      <c r="B34" s="10" t="s">
        <v>379</v>
      </c>
      <c r="C34" s="19"/>
      <c r="D34" s="9" t="s">
        <v>585</v>
      </c>
      <c r="E34" s="19" t="str">
        <f>E33&amp;D33&amp;"/"</f>
        <v>app/views/emailtester/</v>
      </c>
      <c r="G34" s="12" t="s">
        <v>380</v>
      </c>
      <c r="H34" s="62" t="str">
        <f>D34&amp;".blade.php"</f>
        <v>base.blade.php</v>
      </c>
    </row>
    <row r="35" spans="2:8" x14ac:dyDescent="0.25">
      <c r="B35" s="17" t="s">
        <v>86</v>
      </c>
      <c r="C35" s="17" t="str">
        <f>"mkdir "&amp;E33&amp;D33</f>
        <v>mkdir app/views/emailtester</v>
      </c>
      <c r="D35" s="17"/>
      <c r="E35" s="17"/>
      <c r="F35" s="17"/>
      <c r="G35" s="17"/>
      <c r="H35" s="19"/>
    </row>
    <row r="36" spans="2:8" x14ac:dyDescent="0.25">
      <c r="B36" s="17" t="s">
        <v>86</v>
      </c>
      <c r="C36" s="17" t="str">
        <f>"php artisan generate:view --path="&amp;B3&amp;"app/views/"&amp;D33&amp;B3&amp;" "&amp;D34</f>
        <v>php artisan generate:view --path="app/views/emailtester" base</v>
      </c>
      <c r="D36" s="17"/>
      <c r="E36" s="17"/>
      <c r="F36" s="17"/>
      <c r="G36" s="17"/>
      <c r="H36" s="12" t="str">
        <f>UPPER(LEFT(D33,1))&amp;RIGHT(D33,LEN(D33)-1)&amp;"Controller"</f>
        <v>EmailtesterController</v>
      </c>
    </row>
    <row r="37" spans="2:8" x14ac:dyDescent="0.25">
      <c r="B37" s="17" t="s">
        <v>86</v>
      </c>
      <c r="C37" s="17" t="str">
        <f>A4&amp;B5&amp;H36</f>
        <v>php artisan generate:controller EmailtesterController</v>
      </c>
      <c r="D37" s="17"/>
      <c r="E37" s="17"/>
      <c r="F37" s="17"/>
      <c r="G37" s="17"/>
    </row>
    <row r="38" spans="2:8" x14ac:dyDescent="0.25">
      <c r="C38" s="19"/>
      <c r="E38" s="19"/>
    </row>
    <row r="39" spans="2:8" x14ac:dyDescent="0.25">
      <c r="B39" s="10" t="s">
        <v>381</v>
      </c>
      <c r="C39" s="19" t="str">
        <f>E34&amp;H34</f>
        <v>app/views/emailtester/base.blade.php</v>
      </c>
      <c r="E39" s="19"/>
      <c r="F39" s="10" t="s">
        <v>382</v>
      </c>
    </row>
    <row r="40" spans="2:8" x14ac:dyDescent="0.25">
      <c r="C40" s="19"/>
      <c r="E40" s="19"/>
    </row>
    <row r="41" spans="2:8" x14ac:dyDescent="0.25">
      <c r="C41" s="67" t="s">
        <v>384</v>
      </c>
      <c r="D41" s="23"/>
      <c r="E41" s="23"/>
      <c r="F41" s="23"/>
      <c r="G41" s="23"/>
      <c r="H41" s="23"/>
    </row>
    <row r="42" spans="2:8" x14ac:dyDescent="0.25">
      <c r="C42" s="68" t="s">
        <v>423</v>
      </c>
      <c r="D42" s="23"/>
      <c r="E42" s="23" t="s">
        <v>117</v>
      </c>
      <c r="F42" s="23"/>
      <c r="G42" s="23"/>
      <c r="H42" s="23"/>
    </row>
    <row r="43" spans="2:8" x14ac:dyDescent="0.25">
      <c r="C43" s="68" t="s">
        <v>424</v>
      </c>
      <c r="D43" s="23"/>
      <c r="E43" s="23"/>
      <c r="F43" s="23"/>
      <c r="G43" s="23"/>
      <c r="H43" s="23"/>
    </row>
    <row r="44" spans="2:8" x14ac:dyDescent="0.25">
      <c r="C44" s="67" t="s">
        <v>425</v>
      </c>
      <c r="D44" s="23"/>
      <c r="E44" s="23"/>
      <c r="F44" s="23"/>
      <c r="G44" s="23"/>
      <c r="H44" s="23"/>
    </row>
    <row r="45" spans="2:8" x14ac:dyDescent="0.25">
      <c r="C45" s="23"/>
      <c r="D45" s="46" t="s">
        <v>118</v>
      </c>
      <c r="E45" s="23"/>
      <c r="F45" s="23"/>
      <c r="G45" s="23"/>
      <c r="H45" s="23"/>
    </row>
    <row r="46" spans="2:8" x14ac:dyDescent="0.25">
      <c r="C46" s="67" t="s">
        <v>424</v>
      </c>
      <c r="D46" s="23"/>
      <c r="E46" s="23"/>
      <c r="F46" s="23"/>
      <c r="G46" s="23"/>
      <c r="H46" s="23"/>
    </row>
    <row r="47" spans="2:8" x14ac:dyDescent="0.25"/>
    <row r="48" spans="2:8" x14ac:dyDescent="0.25">
      <c r="B48" s="10" t="s">
        <v>381</v>
      </c>
      <c r="C48" s="10" t="s">
        <v>106</v>
      </c>
      <c r="D48" s="10" t="str">
        <f>" app/Controllers/"&amp;H36&amp;".php"</f>
        <v xml:space="preserve"> app/Controllers/EmailtesterController.php</v>
      </c>
      <c r="G48" s="12" t="str">
        <f>UPPER(LEFT(D34,1))&amp;RIGHT(D34,LEN(D34)-1)</f>
        <v>Base</v>
      </c>
      <c r="H48" s="10" t="s">
        <v>382</v>
      </c>
    </row>
    <row r="49" spans="2:8" x14ac:dyDescent="0.25">
      <c r="C49" s="46" t="str">
        <f>"public function getIndex() {"</f>
        <v>public function getIndex() {</v>
      </c>
      <c r="D49" s="23"/>
      <c r="E49" s="23"/>
      <c r="F49" s="23"/>
      <c r="G49" s="23"/>
      <c r="H49" s="23"/>
    </row>
    <row r="50" spans="2:8" x14ac:dyDescent="0.25">
      <c r="C50" s="46" t="str">
        <f>"    return View::make('"&amp;D33&amp;IF(D33&lt;&gt;"",".","")&amp;D34&amp;"'"&amp;")"</f>
        <v xml:space="preserve">    return View::make('emailtester.base')</v>
      </c>
      <c r="D50" s="23"/>
      <c r="E50" s="23"/>
      <c r="F50" s="23"/>
      <c r="G50" s="23"/>
      <c r="H50" s="23"/>
    </row>
    <row r="51" spans="2:8" x14ac:dyDescent="0.25">
      <c r="C51" s="46" t="str">
        <f>"      -&gt;with('title','"&amp;D34&amp;"');"</f>
        <v xml:space="preserve">      -&gt;with('title','base');</v>
      </c>
      <c r="D51" s="23"/>
      <c r="E51" s="23"/>
      <c r="F51" s="23"/>
      <c r="G51" s="23"/>
      <c r="H51" s="23"/>
    </row>
    <row r="52" spans="2:8" x14ac:dyDescent="0.25">
      <c r="C52" s="46" t="s">
        <v>386</v>
      </c>
      <c r="D52" s="23"/>
      <c r="E52" s="23"/>
      <c r="F52" s="23"/>
      <c r="G52" s="23"/>
      <c r="H52" s="23"/>
    </row>
    <row r="53" spans="2:8" x14ac:dyDescent="0.25">
      <c r="C53" s="19"/>
      <c r="E53" s="19"/>
    </row>
    <row r="54" spans="2:8" x14ac:dyDescent="0.25">
      <c r="B54" s="10" t="s">
        <v>385</v>
      </c>
      <c r="C54" s="19"/>
      <c r="E54" s="19"/>
    </row>
    <row r="55" spans="2:8" x14ac:dyDescent="0.25">
      <c r="C55" s="46" t="str">
        <f>B6&amp;D33&amp;C1&amp;H36&amp;C2</f>
        <v>Route::controller('emailtester','EmailtesterController');</v>
      </c>
      <c r="D55" s="23"/>
      <c r="E55" s="23"/>
      <c r="F55" s="23"/>
      <c r="G55" s="23"/>
      <c r="H55" s="23"/>
    </row>
    <row r="56" spans="2:8" x14ac:dyDescent="0.25">
      <c r="C56" s="19"/>
      <c r="E56" s="19"/>
    </row>
    <row r="57" spans="2:8" ht="23.25" x14ac:dyDescent="0.35">
      <c r="B57" s="81" t="s">
        <v>603</v>
      </c>
      <c r="C57" s="19"/>
      <c r="E57" s="19"/>
    </row>
    <row r="58" spans="2:8" x14ac:dyDescent="0.25"/>
    <row r="59" spans="2:8" hidden="1" x14ac:dyDescent="0.25"/>
    <row r="60" spans="2:8" hidden="1" x14ac:dyDescent="0.25"/>
    <row r="61" spans="2:8" hidden="1" x14ac:dyDescent="0.25"/>
    <row r="62" spans="2:8" hidden="1" x14ac:dyDescent="0.25"/>
    <row r="63" spans="2:8" hidden="1" x14ac:dyDescent="0.25"/>
    <row r="64" spans="2:8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</sheetData>
  <hyperlinks>
    <hyperlink ref="B57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opLeftCell="A7" zoomScaleNormal="100" workbookViewId="0">
      <selection activeCell="H63" sqref="H63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3" t="s">
        <v>593</v>
      </c>
    </row>
    <row r="13" spans="1:5" hidden="1" x14ac:dyDescent="0.25"/>
    <row r="14" spans="1:5" hidden="1" x14ac:dyDescent="0.25">
      <c r="B14" s="10" t="s">
        <v>108</v>
      </c>
      <c r="C14" s="74" t="str">
        <f>'Start project'!C13</f>
        <v>t3</v>
      </c>
      <c r="D14" s="23"/>
    </row>
    <row r="15" spans="1:5" hidden="1" x14ac:dyDescent="0.25">
      <c r="B15" s="10" t="s">
        <v>261</v>
      </c>
      <c r="C15" s="74" t="str">
        <f>'Start project'!C14</f>
        <v>github</v>
      </c>
      <c r="D15" s="23"/>
    </row>
    <row r="16" spans="1:5" x14ac:dyDescent="0.25"/>
    <row r="17" spans="2:13" x14ac:dyDescent="0.25">
      <c r="B17" s="10" t="s">
        <v>594</v>
      </c>
    </row>
    <row r="18" spans="2:13" x14ac:dyDescent="0.25">
      <c r="B18" s="17" t="s">
        <v>86</v>
      </c>
      <c r="C18" s="17" t="str">
        <f>"cd c:\wamp\www\"&amp;C15&amp;"\"&amp;C14</f>
        <v>cd c:\wamp\www\github\t3</v>
      </c>
      <c r="D18" s="17"/>
      <c r="E18" s="17"/>
      <c r="F18" s="17"/>
      <c r="G18" s="17"/>
    </row>
    <row r="19" spans="2:13" x14ac:dyDescent="0.25">
      <c r="B19" s="17" t="s">
        <v>86</v>
      </c>
      <c r="C19" s="17" t="s">
        <v>52</v>
      </c>
      <c r="D19" s="17"/>
      <c r="E19" s="17"/>
      <c r="F19" s="17"/>
      <c r="G19" s="17"/>
    </row>
    <row r="20" spans="2:13" x14ac:dyDescent="0.25"/>
    <row r="21" spans="2:13" x14ac:dyDescent="0.25">
      <c r="B21" s="10" t="s">
        <v>595</v>
      </c>
    </row>
    <row r="22" spans="2:13" x14ac:dyDescent="0.25">
      <c r="B22" s="17" t="s">
        <v>86</v>
      </c>
      <c r="C22" s="17" t="str">
        <f>"cd c:\wamp\www\"&amp;C15&amp;"\"&amp;C14</f>
        <v>cd c:\wamp\www\github\t3</v>
      </c>
      <c r="D22" s="17"/>
      <c r="E22" s="17"/>
      <c r="F22" s="17"/>
      <c r="G22" s="17"/>
    </row>
    <row r="23" spans="2:13" x14ac:dyDescent="0.25">
      <c r="B23" s="17" t="s">
        <v>86</v>
      </c>
      <c r="C23" s="17" t="s">
        <v>9</v>
      </c>
      <c r="D23" s="17"/>
      <c r="E23" s="17"/>
      <c r="F23" s="17"/>
      <c r="G23" s="17"/>
    </row>
    <row r="24" spans="2:13" x14ac:dyDescent="0.25"/>
    <row r="25" spans="2:13" x14ac:dyDescent="0.25">
      <c r="B25" s="10" t="s">
        <v>374</v>
      </c>
    </row>
    <row r="26" spans="2:13" x14ac:dyDescent="0.25">
      <c r="B26" s="52" t="s">
        <v>114</v>
      </c>
      <c r="C26" s="53" t="s">
        <v>54</v>
      </c>
      <c r="D26" s="54"/>
    </row>
    <row r="27" spans="2:13" x14ac:dyDescent="0.25">
      <c r="B27" s="10" t="s">
        <v>375</v>
      </c>
    </row>
    <row r="28" spans="2:13" x14ac:dyDescent="0.25"/>
    <row r="29" spans="2:13" x14ac:dyDescent="0.25"/>
    <row r="30" spans="2:13" x14ac:dyDescent="0.25">
      <c r="F30" s="10" t="s">
        <v>442</v>
      </c>
    </row>
    <row r="31" spans="2:13" x14ac:dyDescent="0.25">
      <c r="B31" s="10" t="s">
        <v>56</v>
      </c>
      <c r="C31" s="9" t="s">
        <v>387</v>
      </c>
      <c r="D31" s="9"/>
      <c r="F31" s="46" t="str">
        <f>"   'database'  =&gt; '"&amp;C31&amp;"',"</f>
        <v xml:space="preserve">   'database'  =&gt; 'healmy5_adela',</v>
      </c>
      <c r="G31" s="23"/>
      <c r="H31" s="23"/>
      <c r="I31" s="23"/>
      <c r="J31" s="23"/>
      <c r="K31" s="23"/>
    </row>
    <row r="32" spans="2:13" x14ac:dyDescent="0.25">
      <c r="B32" s="10" t="s">
        <v>57</v>
      </c>
      <c r="C32" s="9" t="s">
        <v>58</v>
      </c>
      <c r="D32" s="9"/>
      <c r="F32" s="46" t="str">
        <f>"   'username'  =&gt; '"&amp;C32&amp;"',"</f>
        <v xml:space="preserve">   'username'  =&gt; 'healmy5_root',</v>
      </c>
      <c r="G32" s="23"/>
      <c r="H32" s="23"/>
      <c r="I32" s="23"/>
      <c r="J32" s="23"/>
      <c r="K32" s="23"/>
      <c r="M32" s="12" t="s">
        <v>99</v>
      </c>
    </row>
    <row r="33" spans="2:19" x14ac:dyDescent="0.25">
      <c r="B33" s="10" t="s">
        <v>59</v>
      </c>
      <c r="C33" s="9" t="s">
        <v>60</v>
      </c>
      <c r="D33" s="9"/>
      <c r="F33" s="46" t="str">
        <f>"   'password'  =&gt; '"&amp;C33&amp;"',"</f>
        <v xml:space="preserve">   'password'  =&gt; 'laravel',</v>
      </c>
      <c r="G33" s="23"/>
      <c r="H33" s="23"/>
      <c r="I33" s="23"/>
      <c r="J33" s="23"/>
      <c r="K33" s="23"/>
      <c r="M33" s="12" t="str">
        <f>IF(SUM(J38:K47)&gt;0,B2&amp;P47&amp;Q47&amp;B3,"")</f>
        <v>--fields="pagename:string,pagedescription:string"</v>
      </c>
    </row>
    <row r="34" spans="2:19" x14ac:dyDescent="0.25"/>
    <row r="35" spans="2:19" x14ac:dyDescent="0.25">
      <c r="B35" s="10" t="s">
        <v>61</v>
      </c>
    </row>
    <row r="36" spans="2:19" x14ac:dyDescent="0.25">
      <c r="B36" s="10" t="s">
        <v>62</v>
      </c>
      <c r="D36" s="9" t="s">
        <v>113</v>
      </c>
      <c r="F36" s="12" t="str">
        <f>LEFT(D36,LEN(D36)-1)</f>
        <v>user</v>
      </c>
      <c r="G36" s="12" t="str">
        <f>UPPER(LEFT(F36,1))&amp;RIGHT(F36,LEN(F36)-1)</f>
        <v>User</v>
      </c>
    </row>
    <row r="37" spans="2:19" x14ac:dyDescent="0.25">
      <c r="C37" s="10" t="s">
        <v>83</v>
      </c>
      <c r="D37" s="10" t="s">
        <v>84</v>
      </c>
      <c r="G37" s="10" t="s">
        <v>83</v>
      </c>
      <c r="H37" s="10" t="s">
        <v>84</v>
      </c>
      <c r="J37" s="12" t="s">
        <v>402</v>
      </c>
      <c r="K37" s="12"/>
      <c r="M37" s="12" t="s">
        <v>91</v>
      </c>
      <c r="N37" s="12" t="s">
        <v>98</v>
      </c>
      <c r="S37" s="12" t="s">
        <v>415</v>
      </c>
    </row>
    <row r="38" spans="2:19" x14ac:dyDescent="0.25">
      <c r="B38" s="10" t="s">
        <v>63</v>
      </c>
      <c r="C38" s="9" t="s">
        <v>590</v>
      </c>
      <c r="D38" s="9" t="s">
        <v>93</v>
      </c>
      <c r="F38" s="10" t="s">
        <v>73</v>
      </c>
      <c r="G38" s="9"/>
      <c r="H38" s="9"/>
      <c r="J38" s="12">
        <f>IF(C38="",0,1)</f>
        <v>1</v>
      </c>
      <c r="K38" s="12">
        <f>IF(G38="",0,1)</f>
        <v>0</v>
      </c>
      <c r="M38" s="12" t="s">
        <v>92</v>
      </c>
      <c r="N38" s="61" t="str">
        <f>IF(AND(C38&lt;&gt;"",D38&lt;&gt;""),IF(N37="concatenator1","",",")&amp;C38&amp;":"&amp;D38,"")</f>
        <v>pagename:string</v>
      </c>
      <c r="O38" s="61" t="str">
        <f>IF(AND(G38&lt;&gt;"",H38&lt;&gt;""),","&amp;G38&amp;":"&amp;H38,"")</f>
        <v/>
      </c>
      <c r="P38" s="61" t="str">
        <f>P37&amp;N38</f>
        <v>pagename:string</v>
      </c>
      <c r="Q38" s="61" t="str">
        <f>Q37&amp;O38</f>
        <v/>
      </c>
      <c r="S38" s="61" t="s">
        <v>416</v>
      </c>
    </row>
    <row r="39" spans="2:19" x14ac:dyDescent="0.25">
      <c r="B39" s="10" t="s">
        <v>64</v>
      </c>
      <c r="C39" s="9" t="s">
        <v>591</v>
      </c>
      <c r="D39" s="9" t="s">
        <v>93</v>
      </c>
      <c r="F39" s="10" t="s">
        <v>74</v>
      </c>
      <c r="G39" s="9"/>
      <c r="H39" s="9"/>
      <c r="J39" s="12">
        <f t="shared" ref="J39:J47" si="0">IF(C39="",0,1)</f>
        <v>1</v>
      </c>
      <c r="K39" s="12">
        <f t="shared" ref="K39:K47" si="1">IF(G39="",0,1)</f>
        <v>0</v>
      </c>
      <c r="M39" s="12" t="s">
        <v>93</v>
      </c>
      <c r="N39" s="61" t="str">
        <f t="shared" ref="N39:N47" si="2">IF(AND(C39&lt;&gt;"",D39&lt;&gt;""),IF(N38="concatenator1","",",")&amp;C39&amp;":"&amp;D39,"")</f>
        <v>,pagedescription:string</v>
      </c>
      <c r="O39" s="61" t="str">
        <f t="shared" ref="O39:O47" si="3">IF(AND(G39&lt;&gt;"",H39&lt;&gt;""),","&amp;G39&amp;":"&amp;H39,"")</f>
        <v/>
      </c>
      <c r="P39" s="61" t="str">
        <f t="shared" ref="P39:Q47" si="4">P38&amp;N39</f>
        <v>pagename:string,pagedescription:string</v>
      </c>
      <c r="Q39" s="61" t="str">
        <f t="shared" si="4"/>
        <v/>
      </c>
      <c r="S39" s="61" t="s">
        <v>417</v>
      </c>
    </row>
    <row r="40" spans="2:19" x14ac:dyDescent="0.25">
      <c r="B40" s="10" t="s">
        <v>65</v>
      </c>
      <c r="C40" s="9"/>
      <c r="D40" s="9"/>
      <c r="F40" s="10" t="s">
        <v>75</v>
      </c>
      <c r="G40" s="9"/>
      <c r="H40" s="9"/>
      <c r="J40" s="12">
        <f t="shared" si="0"/>
        <v>0</v>
      </c>
      <c r="K40" s="12">
        <f t="shared" si="1"/>
        <v>0</v>
      </c>
      <c r="M40" s="12" t="s">
        <v>94</v>
      </c>
      <c r="N40" s="61" t="str">
        <f t="shared" si="2"/>
        <v/>
      </c>
      <c r="O40" s="61" t="str">
        <f t="shared" si="3"/>
        <v/>
      </c>
      <c r="P40" s="61" t="str">
        <f t="shared" si="4"/>
        <v>pagename:string,pagedescription:string</v>
      </c>
      <c r="Q40" s="61" t="str">
        <f t="shared" si="4"/>
        <v/>
      </c>
    </row>
    <row r="41" spans="2:19" x14ac:dyDescent="0.25">
      <c r="B41" s="10" t="s">
        <v>66</v>
      </c>
      <c r="C41" s="9"/>
      <c r="D41" s="9"/>
      <c r="F41" s="10" t="s">
        <v>76</v>
      </c>
      <c r="G41" s="9"/>
      <c r="H41" s="9"/>
      <c r="J41" s="12">
        <f t="shared" si="0"/>
        <v>0</v>
      </c>
      <c r="K41" s="12">
        <f t="shared" si="1"/>
        <v>0</v>
      </c>
      <c r="M41" s="12" t="s">
        <v>95</v>
      </c>
      <c r="N41" s="61" t="str">
        <f t="shared" si="2"/>
        <v/>
      </c>
      <c r="O41" s="61" t="str">
        <f t="shared" si="3"/>
        <v/>
      </c>
      <c r="P41" s="61" t="str">
        <f t="shared" si="4"/>
        <v>pagename:string,pagedescription:string</v>
      </c>
      <c r="Q41" s="61" t="str">
        <f t="shared" si="4"/>
        <v/>
      </c>
    </row>
    <row r="42" spans="2:19" x14ac:dyDescent="0.25">
      <c r="B42" s="10" t="s">
        <v>67</v>
      </c>
      <c r="C42" s="9"/>
      <c r="D42" s="9"/>
      <c r="F42" s="10" t="s">
        <v>77</v>
      </c>
      <c r="G42" s="9"/>
      <c r="H42" s="9"/>
      <c r="J42" s="12">
        <f t="shared" si="0"/>
        <v>0</v>
      </c>
      <c r="K42" s="12">
        <f t="shared" si="1"/>
        <v>0</v>
      </c>
      <c r="M42" s="12" t="s">
        <v>400</v>
      </c>
      <c r="N42" s="61" t="str">
        <f t="shared" si="2"/>
        <v/>
      </c>
      <c r="O42" s="61" t="str">
        <f t="shared" si="3"/>
        <v/>
      </c>
      <c r="P42" s="61" t="str">
        <f t="shared" si="4"/>
        <v>pagename:string,pagedescription:string</v>
      </c>
      <c r="Q42" s="61" t="str">
        <f t="shared" si="4"/>
        <v/>
      </c>
    </row>
    <row r="43" spans="2:19" x14ac:dyDescent="0.25">
      <c r="B43" s="10" t="s">
        <v>68</v>
      </c>
      <c r="C43" s="9"/>
      <c r="D43" s="9"/>
      <c r="F43" s="10" t="s">
        <v>78</v>
      </c>
      <c r="G43" s="9"/>
      <c r="H43" s="9"/>
      <c r="J43" s="12">
        <f t="shared" si="0"/>
        <v>0</v>
      </c>
      <c r="K43" s="12">
        <f t="shared" si="1"/>
        <v>0</v>
      </c>
      <c r="M43" s="12" t="s">
        <v>401</v>
      </c>
      <c r="N43" s="61" t="str">
        <f t="shared" si="2"/>
        <v/>
      </c>
      <c r="O43" s="61" t="str">
        <f t="shared" si="3"/>
        <v/>
      </c>
      <c r="P43" s="61" t="str">
        <f t="shared" si="4"/>
        <v>pagename:string,pagedescription:string</v>
      </c>
      <c r="Q43" s="61" t="str">
        <f t="shared" si="4"/>
        <v/>
      </c>
    </row>
    <row r="44" spans="2:19" x14ac:dyDescent="0.25">
      <c r="B44" s="10" t="s">
        <v>69</v>
      </c>
      <c r="C44" s="9"/>
      <c r="D44" s="9"/>
      <c r="F44" s="10" t="s">
        <v>79</v>
      </c>
      <c r="G44" s="9"/>
      <c r="H44" s="9"/>
      <c r="J44" s="12">
        <f t="shared" si="0"/>
        <v>0</v>
      </c>
      <c r="K44" s="12">
        <f t="shared" si="1"/>
        <v>0</v>
      </c>
      <c r="M44" s="12" t="s">
        <v>413</v>
      </c>
      <c r="N44" s="61" t="str">
        <f t="shared" si="2"/>
        <v/>
      </c>
      <c r="O44" s="61" t="str">
        <f t="shared" si="3"/>
        <v/>
      </c>
      <c r="P44" s="61" t="str">
        <f t="shared" si="4"/>
        <v>pagename:string,pagedescription:string</v>
      </c>
      <c r="Q44" s="61" t="str">
        <f t="shared" si="4"/>
        <v/>
      </c>
    </row>
    <row r="45" spans="2:19" x14ac:dyDescent="0.25">
      <c r="B45" s="10" t="s">
        <v>70</v>
      </c>
      <c r="C45" s="9"/>
      <c r="D45" s="9"/>
      <c r="F45" s="10" t="s">
        <v>80</v>
      </c>
      <c r="G45" s="9"/>
      <c r="H45" s="9"/>
      <c r="J45" s="12">
        <f t="shared" si="0"/>
        <v>0</v>
      </c>
      <c r="K45" s="12">
        <f t="shared" si="1"/>
        <v>0</v>
      </c>
      <c r="M45" s="12" t="s">
        <v>414</v>
      </c>
      <c r="N45" s="61" t="str">
        <f t="shared" si="2"/>
        <v/>
      </c>
      <c r="O45" s="61" t="str">
        <f t="shared" si="3"/>
        <v/>
      </c>
      <c r="P45" s="61" t="str">
        <f t="shared" si="4"/>
        <v>pagename:string,pagedescription:string</v>
      </c>
      <c r="Q45" s="61" t="str">
        <f t="shared" si="4"/>
        <v/>
      </c>
    </row>
    <row r="46" spans="2:19" x14ac:dyDescent="0.25">
      <c r="B46" s="10" t="s">
        <v>71</v>
      </c>
      <c r="C46" s="9"/>
      <c r="D46" s="9"/>
      <c r="F46" s="10" t="s">
        <v>81</v>
      </c>
      <c r="G46" s="9"/>
      <c r="H46" s="9"/>
      <c r="J46" s="12">
        <f t="shared" si="0"/>
        <v>0</v>
      </c>
      <c r="K46" s="12">
        <f t="shared" si="1"/>
        <v>0</v>
      </c>
      <c r="M46" s="12" t="s">
        <v>96</v>
      </c>
      <c r="N46" s="61" t="str">
        <f t="shared" si="2"/>
        <v/>
      </c>
      <c r="O46" s="61" t="str">
        <f t="shared" si="3"/>
        <v/>
      </c>
      <c r="P46" s="61" t="str">
        <f t="shared" si="4"/>
        <v>pagename:string,pagedescription:string</v>
      </c>
      <c r="Q46" s="61" t="str">
        <f t="shared" si="4"/>
        <v/>
      </c>
    </row>
    <row r="47" spans="2:19" x14ac:dyDescent="0.25">
      <c r="B47" s="10" t="s">
        <v>72</v>
      </c>
      <c r="C47" s="9"/>
      <c r="D47" s="9"/>
      <c r="F47" s="10" t="s">
        <v>82</v>
      </c>
      <c r="G47" s="9"/>
      <c r="H47" s="9"/>
      <c r="J47" s="12">
        <f t="shared" si="0"/>
        <v>0</v>
      </c>
      <c r="K47" s="12">
        <f t="shared" si="1"/>
        <v>0</v>
      </c>
      <c r="M47" s="12" t="s">
        <v>97</v>
      </c>
      <c r="N47" s="61" t="str">
        <f t="shared" si="2"/>
        <v/>
      </c>
      <c r="O47" s="61" t="str">
        <f t="shared" si="3"/>
        <v/>
      </c>
      <c r="P47" s="61" t="str">
        <f t="shared" si="4"/>
        <v>pagename:string,pagedescription:string</v>
      </c>
      <c r="Q47" s="61" t="str">
        <f t="shared" si="4"/>
        <v/>
      </c>
    </row>
    <row r="48" spans="2:19" x14ac:dyDescent="0.25"/>
    <row r="49" spans="2:11" x14ac:dyDescent="0.25"/>
    <row r="50" spans="2:11" x14ac:dyDescent="0.25">
      <c r="B50" s="10" t="s">
        <v>85</v>
      </c>
    </row>
    <row r="51" spans="2:11" x14ac:dyDescent="0.25">
      <c r="B51" s="17" t="s">
        <v>86</v>
      </c>
      <c r="C51" s="17" t="str">
        <f>A4&amp;A5&amp;A6&amp;D36&amp;B1&amp;M33</f>
        <v>php artisan generate:migration create_users_table --fields="pagename:string,pagedescription:string"</v>
      </c>
      <c r="D51" s="17"/>
      <c r="E51" s="17"/>
      <c r="F51" s="17"/>
      <c r="G51" s="17"/>
    </row>
    <row r="52" spans="2:11" x14ac:dyDescent="0.25">
      <c r="B52" s="17" t="s">
        <v>86</v>
      </c>
      <c r="C52" s="17" t="s">
        <v>55</v>
      </c>
      <c r="D52" s="17"/>
      <c r="E52" s="17"/>
      <c r="F52" s="17"/>
      <c r="G52" s="17"/>
    </row>
    <row r="53" spans="2:11" x14ac:dyDescent="0.25">
      <c r="B53" s="17" t="s">
        <v>86</v>
      </c>
      <c r="C53" s="17" t="str">
        <f>A4&amp;B4&amp;G36</f>
        <v>php artisan generate:model User</v>
      </c>
      <c r="D53" s="17"/>
      <c r="E53" s="17"/>
      <c r="F53" s="17"/>
      <c r="G53" s="17"/>
    </row>
    <row r="54" spans="2:11" x14ac:dyDescent="0.25"/>
    <row r="55" spans="2:11" x14ac:dyDescent="0.25"/>
    <row r="56" spans="2:11" x14ac:dyDescent="0.25">
      <c r="B56" s="10" t="s">
        <v>259</v>
      </c>
    </row>
    <row r="57" spans="2:11" x14ac:dyDescent="0.25">
      <c r="B57" s="12" t="s">
        <v>122</v>
      </c>
      <c r="C57" s="12"/>
      <c r="D57" s="12" t="str">
        <f>D36</f>
        <v>users</v>
      </c>
    </row>
    <row r="58" spans="2:11" x14ac:dyDescent="0.25">
      <c r="B58" s="10" t="s">
        <v>260</v>
      </c>
      <c r="D58" s="9" t="s">
        <v>631</v>
      </c>
    </row>
    <row r="59" spans="2:11" x14ac:dyDescent="0.25">
      <c r="B59" s="10" t="s">
        <v>261</v>
      </c>
      <c r="D59" s="9" t="s">
        <v>93</v>
      </c>
    </row>
    <row r="60" spans="2:11" x14ac:dyDescent="0.25">
      <c r="B60" s="17" t="s">
        <v>86</v>
      </c>
      <c r="C60" s="17" t="str">
        <f>C3&amp;D58&amp;C4&amp;D57&amp;C5&amp;C6&amp;D58&amp;":"&amp;D59&amp;C6</f>
        <v>php artisan generate:migration add_tmst_reset_to_users_table --fields="tmst_reset:string"</v>
      </c>
      <c r="D60" s="17"/>
      <c r="E60" s="17"/>
      <c r="F60" s="17"/>
      <c r="G60" s="17"/>
      <c r="H60" s="17"/>
      <c r="I60" s="17"/>
      <c r="J60" s="17"/>
      <c r="K60" s="17"/>
    </row>
    <row r="61" spans="2:11" x14ac:dyDescent="0.25">
      <c r="B61" s="17" t="s">
        <v>86</v>
      </c>
      <c r="C61" s="17" t="s">
        <v>55</v>
      </c>
      <c r="D61" s="17"/>
      <c r="E61" s="17"/>
      <c r="F61" s="17"/>
      <c r="G61" s="17"/>
    </row>
    <row r="62" spans="2:11" x14ac:dyDescent="0.25"/>
    <row r="63" spans="2:11" x14ac:dyDescent="0.25"/>
    <row r="64" spans="2:11" x14ac:dyDescent="0.25">
      <c r="B64" s="10" t="s">
        <v>391</v>
      </c>
    </row>
    <row r="65" spans="2:2" x14ac:dyDescent="0.25">
      <c r="B65" s="10" t="s">
        <v>392</v>
      </c>
    </row>
    <row r="66" spans="2:2" x14ac:dyDescent="0.25">
      <c r="B66" s="10" t="s">
        <v>393</v>
      </c>
    </row>
    <row r="67" spans="2:2" x14ac:dyDescent="0.25"/>
    <row r="68" spans="2:2" hidden="1" x14ac:dyDescent="0.25"/>
    <row r="69" spans="2:2" hidden="1" x14ac:dyDescent="0.25"/>
    <row r="70" spans="2:2" hidden="1" x14ac:dyDescent="0.25"/>
    <row r="71" spans="2:2" hidden="1" x14ac:dyDescent="0.25"/>
    <row r="72" spans="2:2" hidden="1" x14ac:dyDescent="0.25"/>
    <row r="73" spans="2:2" hidden="1" x14ac:dyDescent="0.25"/>
    <row r="74" spans="2:2" hidden="1" x14ac:dyDescent="0.25"/>
    <row r="75" spans="2:2" hidden="1" x14ac:dyDescent="0.25"/>
    <row r="76" spans="2:2" hidden="1" x14ac:dyDescent="0.25"/>
    <row r="77" spans="2:2" hidden="1" x14ac:dyDescent="0.25"/>
    <row r="78" spans="2:2" hidden="1" x14ac:dyDescent="0.25"/>
    <row r="79" spans="2:2" hidden="1" x14ac:dyDescent="0.25"/>
    <row r="80" spans="2: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</sheetData>
  <dataValidations count="1">
    <dataValidation type="list" allowBlank="1" showInputMessage="1" showErrorMessage="1" sqref="D38:D47 H38:H47">
      <formula1>$M$38:$M$47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A7" zoomScaleNormal="100" workbookViewId="0">
      <selection activeCell="C13" sqref="C13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2" spans="1:5" x14ac:dyDescent="0.25">
      <c r="B12" s="73" t="s">
        <v>601</v>
      </c>
    </row>
    <row r="14" spans="1:5" x14ac:dyDescent="0.25">
      <c r="B14" s="10" t="s">
        <v>426</v>
      </c>
    </row>
    <row r="15" spans="1:5" x14ac:dyDescent="0.25">
      <c r="B15" s="10" t="s">
        <v>108</v>
      </c>
      <c r="C15" s="9" t="s">
        <v>573</v>
      </c>
      <c r="D15" s="9"/>
    </row>
    <row r="16" spans="1:5" x14ac:dyDescent="0.25">
      <c r="B16" s="10" t="s">
        <v>261</v>
      </c>
      <c r="C16" s="9" t="s">
        <v>417</v>
      </c>
      <c r="D16" s="9"/>
    </row>
    <row r="17" spans="2:7" x14ac:dyDescent="0.25">
      <c r="B17" s="17" t="s">
        <v>86</v>
      </c>
      <c r="C17" s="17" t="str">
        <f>+"cd c:\wamp\www\"&amp;C16</f>
        <v>cd c:\wamp\www\github</v>
      </c>
      <c r="D17" s="17"/>
      <c r="E17" s="17"/>
      <c r="F17" s="17"/>
      <c r="G17" s="17"/>
    </row>
    <row r="18" spans="2:7" x14ac:dyDescent="0.25">
      <c r="B18" s="17" t="s">
        <v>86</v>
      </c>
      <c r="C18" s="17"/>
      <c r="D18" s="77" t="s">
        <v>422</v>
      </c>
      <c r="E18" s="17"/>
      <c r="F18" s="17"/>
      <c r="G18" s="17" t="s">
        <v>587</v>
      </c>
    </row>
    <row r="19" spans="2:7" x14ac:dyDescent="0.25">
      <c r="B19" s="17" t="s">
        <v>86</v>
      </c>
      <c r="C19" s="17"/>
      <c r="D19" s="77" t="str">
        <f>"rename-item edry "&amp;C15</f>
        <v>rename-item edry t3</v>
      </c>
      <c r="E19" s="17"/>
      <c r="F19" s="17"/>
      <c r="G19" s="17" t="s">
        <v>587</v>
      </c>
    </row>
    <row r="20" spans="2:7" x14ac:dyDescent="0.25">
      <c r="B20" s="17" t="s">
        <v>86</v>
      </c>
      <c r="C20" s="17" t="str">
        <f>"cd "&amp;C15</f>
        <v>cd t3</v>
      </c>
      <c r="D20" s="17"/>
      <c r="E20" s="17"/>
      <c r="F20" s="17"/>
      <c r="G20" s="17"/>
    </row>
    <row r="21" spans="2:7" x14ac:dyDescent="0.25">
      <c r="B21" s="17" t="s">
        <v>86</v>
      </c>
      <c r="C21" s="17" t="s">
        <v>8</v>
      </c>
      <c r="D21" s="17"/>
      <c r="E21" s="17"/>
      <c r="F21" s="17"/>
      <c r="G21" s="17"/>
    </row>
    <row r="22" spans="2:7" x14ac:dyDescent="0.25">
      <c r="B22" s="17" t="s">
        <v>86</v>
      </c>
      <c r="C22" s="17" t="s">
        <v>9</v>
      </c>
      <c r="D22" s="17"/>
      <c r="E22" s="17"/>
      <c r="F22" s="17"/>
      <c r="G22" s="17"/>
    </row>
    <row r="23" spans="2:7" x14ac:dyDescent="0.25">
      <c r="B23" s="17" t="s">
        <v>86</v>
      </c>
      <c r="C23" s="17" t="s">
        <v>52</v>
      </c>
      <c r="D23" s="17"/>
      <c r="E23" s="17"/>
      <c r="F23" s="17"/>
      <c r="G23" s="17"/>
    </row>
    <row r="25" spans="2:7" x14ac:dyDescent="0.25">
      <c r="B25" s="10" t="s">
        <v>427</v>
      </c>
    </row>
    <row r="26" spans="2:7" x14ac:dyDescent="0.25">
      <c r="B26" s="17" t="s">
        <v>86</v>
      </c>
      <c r="C26" s="17" t="str">
        <f>"cd c:\wamp\www\"&amp;C16&amp;"\"&amp;C15</f>
        <v>cd c:\wamp\www\github\t3</v>
      </c>
      <c r="D26" s="17"/>
      <c r="E26" s="17"/>
      <c r="F26" s="17"/>
      <c r="G26" s="17"/>
    </row>
    <row r="28" spans="2:7" x14ac:dyDescent="0.25">
      <c r="B28" s="10" t="s">
        <v>388</v>
      </c>
    </row>
    <row r="29" spans="2:7" x14ac:dyDescent="0.25">
      <c r="B29" s="52" t="s">
        <v>114</v>
      </c>
      <c r="C29" s="53" t="s">
        <v>389</v>
      </c>
      <c r="D29" s="54"/>
    </row>
    <row r="31" spans="2:7" x14ac:dyDescent="0.25">
      <c r="B31" s="10" t="s">
        <v>374</v>
      </c>
    </row>
    <row r="32" spans="2:7" x14ac:dyDescent="0.25">
      <c r="B32" s="52" t="s">
        <v>114</v>
      </c>
      <c r="C32" s="53" t="s">
        <v>54</v>
      </c>
      <c r="D32" s="54"/>
    </row>
    <row r="33" spans="2:8" x14ac:dyDescent="0.25">
      <c r="B33" s="10" t="s">
        <v>375</v>
      </c>
    </row>
    <row r="35" spans="2:8" x14ac:dyDescent="0.25">
      <c r="B35" s="10" t="s">
        <v>383</v>
      </c>
      <c r="C35" s="19"/>
      <c r="E35" s="19"/>
    </row>
    <row r="36" spans="2:8" x14ac:dyDescent="0.25">
      <c r="C36" s="19"/>
      <c r="E36" s="19"/>
    </row>
    <row r="37" spans="2:8" x14ac:dyDescent="0.25">
      <c r="B37" s="10" t="s">
        <v>378</v>
      </c>
      <c r="C37" s="19"/>
      <c r="D37" s="9" t="s">
        <v>588</v>
      </c>
      <c r="E37" s="19" t="s">
        <v>376</v>
      </c>
      <c r="G37" s="12" t="s">
        <v>377</v>
      </c>
      <c r="H37" s="62" t="str">
        <f>D37</f>
        <v>projtemplates</v>
      </c>
    </row>
    <row r="38" spans="2:8" x14ac:dyDescent="0.25">
      <c r="B38" s="10" t="s">
        <v>379</v>
      </c>
      <c r="C38" s="19"/>
      <c r="D38" s="9" t="s">
        <v>585</v>
      </c>
      <c r="E38" s="19" t="str">
        <f>E37&amp;D37&amp;"/"</f>
        <v>app/views/projtemplates/</v>
      </c>
      <c r="G38" s="12" t="s">
        <v>380</v>
      </c>
      <c r="H38" s="62" t="str">
        <f>D38&amp;".blade.php"</f>
        <v>base.blade.php</v>
      </c>
    </row>
    <row r="39" spans="2:8" x14ac:dyDescent="0.25">
      <c r="B39" s="17" t="s">
        <v>86</v>
      </c>
      <c r="C39" s="17" t="str">
        <f>"mkdir "&amp;E37&amp;D37</f>
        <v>mkdir app/views/projtemplates</v>
      </c>
      <c r="D39" s="17"/>
      <c r="E39" s="17"/>
      <c r="F39" s="17"/>
      <c r="G39" s="17"/>
      <c r="H39" s="19"/>
    </row>
    <row r="40" spans="2:8" x14ac:dyDescent="0.25">
      <c r="B40" s="17" t="s">
        <v>86</v>
      </c>
      <c r="C40" s="17" t="str">
        <f>"php artisan generate:view --path="&amp;B3&amp;"app/views/"&amp;D37&amp;B3&amp;" "&amp;D38</f>
        <v>php artisan generate:view --path="app/views/projtemplates" base</v>
      </c>
      <c r="D40" s="17"/>
      <c r="E40" s="17"/>
      <c r="F40" s="17"/>
      <c r="G40" s="17"/>
      <c r="H40" s="12" t="str">
        <f>UPPER(LEFT(D37,1))&amp;RIGHT(D37,LEN(D37)-1)&amp;"Controller"</f>
        <v>ProjtemplatesController</v>
      </c>
    </row>
    <row r="41" spans="2:8" x14ac:dyDescent="0.25">
      <c r="B41" s="17" t="s">
        <v>86</v>
      </c>
      <c r="C41" s="17" t="str">
        <f>A4&amp;B5&amp;H40</f>
        <v>php artisan generate:controller ProjtemplatesController</v>
      </c>
      <c r="D41" s="17"/>
      <c r="E41" s="17"/>
      <c r="F41" s="17"/>
      <c r="G41" s="17"/>
    </row>
    <row r="42" spans="2:8" x14ac:dyDescent="0.25">
      <c r="C42" s="19"/>
      <c r="E42" s="19"/>
    </row>
    <row r="43" spans="2:8" x14ac:dyDescent="0.25">
      <c r="B43" s="10" t="s">
        <v>381</v>
      </c>
      <c r="C43" s="19" t="str">
        <f>E38&amp;H38</f>
        <v>app/views/projtemplates/base.blade.php</v>
      </c>
      <c r="E43" s="19"/>
      <c r="F43" s="10" t="s">
        <v>382</v>
      </c>
    </row>
    <row r="44" spans="2:8" x14ac:dyDescent="0.25">
      <c r="C44" s="19"/>
      <c r="E44" s="19"/>
    </row>
    <row r="45" spans="2:8" x14ac:dyDescent="0.25">
      <c r="C45" s="67" t="s">
        <v>384</v>
      </c>
      <c r="D45" s="23"/>
      <c r="E45" s="23"/>
      <c r="F45" s="23"/>
      <c r="G45" s="23"/>
      <c r="H45" s="23"/>
    </row>
    <row r="46" spans="2:8" x14ac:dyDescent="0.25">
      <c r="C46" s="68" t="s">
        <v>423</v>
      </c>
      <c r="D46" s="23"/>
      <c r="E46" s="23" t="s">
        <v>117</v>
      </c>
      <c r="F46" s="23"/>
      <c r="G46" s="23"/>
      <c r="H46" s="23"/>
    </row>
    <row r="47" spans="2:8" x14ac:dyDescent="0.25">
      <c r="C47" s="68" t="s">
        <v>424</v>
      </c>
      <c r="D47" s="23"/>
      <c r="E47" s="23"/>
      <c r="F47" s="23"/>
      <c r="G47" s="23"/>
      <c r="H47" s="23"/>
    </row>
    <row r="48" spans="2:8" x14ac:dyDescent="0.25">
      <c r="C48" s="67" t="s">
        <v>425</v>
      </c>
      <c r="D48" s="23"/>
      <c r="E48" s="23"/>
      <c r="F48" s="23"/>
      <c r="G48" s="23"/>
      <c r="H48" s="23"/>
    </row>
    <row r="49" spans="2:13" x14ac:dyDescent="0.25">
      <c r="C49" s="23"/>
      <c r="D49" s="46" t="s">
        <v>118</v>
      </c>
      <c r="E49" s="23"/>
      <c r="F49" s="23"/>
      <c r="G49" s="23"/>
      <c r="H49" s="23"/>
    </row>
    <row r="50" spans="2:13" x14ac:dyDescent="0.25">
      <c r="C50" s="67" t="s">
        <v>424</v>
      </c>
      <c r="D50" s="23"/>
      <c r="E50" s="23"/>
      <c r="F50" s="23"/>
      <c r="G50" s="23"/>
      <c r="H50" s="23"/>
    </row>
    <row r="52" spans="2:13" x14ac:dyDescent="0.25">
      <c r="B52" s="10" t="s">
        <v>381</v>
      </c>
      <c r="C52" s="10" t="s">
        <v>106</v>
      </c>
      <c r="D52" s="10" t="str">
        <f>" app/Controllers/"&amp;H40&amp;".php"</f>
        <v xml:space="preserve"> app/Controllers/ProjtemplatesController.php</v>
      </c>
      <c r="G52" s="12" t="str">
        <f>UPPER(LEFT(D38,1))&amp;RIGHT(D38,LEN(D38)-1)</f>
        <v>Base</v>
      </c>
      <c r="H52" s="10" t="s">
        <v>382</v>
      </c>
    </row>
    <row r="53" spans="2:13" x14ac:dyDescent="0.25">
      <c r="C53" s="46" t="str">
        <f>"public function getIndex() {"</f>
        <v>public function getIndex() {</v>
      </c>
      <c r="D53" s="23"/>
      <c r="E53" s="23"/>
      <c r="F53" s="23"/>
      <c r="G53" s="23"/>
      <c r="H53" s="23"/>
    </row>
    <row r="54" spans="2:13" x14ac:dyDescent="0.25">
      <c r="C54" s="46" t="str">
        <f>"    return View::make('"&amp;D37&amp;IF(D37&lt;&gt;"",".","")&amp;D38&amp;"'"&amp;")"</f>
        <v xml:space="preserve">    return View::make('projtemplates.base')</v>
      </c>
      <c r="D54" s="23"/>
      <c r="E54" s="23"/>
      <c r="F54" s="23"/>
      <c r="G54" s="23"/>
      <c r="H54" s="23"/>
    </row>
    <row r="55" spans="2:13" x14ac:dyDescent="0.25">
      <c r="C55" s="46" t="str">
        <f>"      -&gt;with('title','"&amp;D38&amp;"');"</f>
        <v xml:space="preserve">      -&gt;with('title','base');</v>
      </c>
      <c r="D55" s="23"/>
      <c r="E55" s="23"/>
      <c r="F55" s="23"/>
      <c r="G55" s="23"/>
      <c r="H55" s="23"/>
    </row>
    <row r="56" spans="2:13" x14ac:dyDescent="0.25">
      <c r="C56" s="46" t="s">
        <v>386</v>
      </c>
      <c r="D56" s="23"/>
      <c r="E56" s="23"/>
      <c r="F56" s="23"/>
      <c r="G56" s="23"/>
      <c r="H56" s="23"/>
    </row>
    <row r="57" spans="2:13" x14ac:dyDescent="0.25">
      <c r="C57" s="19"/>
      <c r="E57" s="19"/>
    </row>
    <row r="58" spans="2:13" x14ac:dyDescent="0.25">
      <c r="B58" s="10" t="s">
        <v>385</v>
      </c>
      <c r="C58" s="19"/>
      <c r="E58" s="19"/>
    </row>
    <row r="59" spans="2:13" x14ac:dyDescent="0.25">
      <c r="C59" s="46" t="str">
        <f>B6&amp;D37&amp;C1&amp;H40&amp;C2</f>
        <v>Route::controller('projtemplates','ProjtemplatesController');</v>
      </c>
      <c r="D59" s="23"/>
      <c r="E59" s="23"/>
      <c r="F59" s="23"/>
      <c r="G59" s="23"/>
      <c r="H59" s="23"/>
    </row>
    <row r="60" spans="2:13" x14ac:dyDescent="0.25">
      <c r="C60" s="19"/>
      <c r="E60" s="19"/>
    </row>
    <row r="62" spans="2:13" x14ac:dyDescent="0.25">
      <c r="F62" s="10" t="s">
        <v>442</v>
      </c>
    </row>
    <row r="63" spans="2:13" x14ac:dyDescent="0.25">
      <c r="B63" s="10" t="s">
        <v>56</v>
      </c>
      <c r="C63" s="9" t="s">
        <v>387</v>
      </c>
      <c r="D63" s="9"/>
      <c r="F63" s="46" t="str">
        <f>"   'database'  =&gt; '"&amp;C63&amp;"',"</f>
        <v xml:space="preserve">   'database'  =&gt; 'healmy5_adela',</v>
      </c>
      <c r="G63" s="23"/>
      <c r="H63" s="23"/>
      <c r="I63" s="23"/>
      <c r="J63" s="23"/>
      <c r="K63" s="23"/>
    </row>
    <row r="64" spans="2:13" x14ac:dyDescent="0.25">
      <c r="B64" s="10" t="s">
        <v>57</v>
      </c>
      <c r="C64" s="9" t="s">
        <v>58</v>
      </c>
      <c r="D64" s="9"/>
      <c r="F64" s="46" t="str">
        <f>"   'username'  =&gt; '"&amp;C64&amp;"',"</f>
        <v xml:space="preserve">   'username'  =&gt; 'healmy5_root',</v>
      </c>
      <c r="G64" s="23"/>
      <c r="H64" s="23"/>
      <c r="I64" s="23"/>
      <c r="J64" s="23"/>
      <c r="K64" s="23"/>
      <c r="M64" s="12" t="s">
        <v>99</v>
      </c>
    </row>
    <row r="65" spans="2:19" x14ac:dyDescent="0.25">
      <c r="B65" s="10" t="s">
        <v>59</v>
      </c>
      <c r="C65" s="9" t="s">
        <v>60</v>
      </c>
      <c r="D65" s="9"/>
      <c r="F65" s="46" t="str">
        <f>"   'password'  =&gt; '"&amp;C65&amp;"',"</f>
        <v xml:space="preserve">   'password'  =&gt; 'laravel',</v>
      </c>
      <c r="G65" s="23"/>
      <c r="H65" s="23"/>
      <c r="I65" s="23"/>
      <c r="J65" s="23"/>
      <c r="K65" s="23"/>
      <c r="M65" s="12" t="str">
        <f>IF(SUM(J70:K79)&gt;0,B2&amp;P79&amp;Q79&amp;B3,"")</f>
        <v>--fields="pagename:string,pagedescription:string"</v>
      </c>
    </row>
    <row r="67" spans="2:19" x14ac:dyDescent="0.25">
      <c r="B67" s="10" t="s">
        <v>61</v>
      </c>
    </row>
    <row r="68" spans="2:19" x14ac:dyDescent="0.25">
      <c r="B68" s="10" t="s">
        <v>62</v>
      </c>
      <c r="D68" s="9" t="s">
        <v>589</v>
      </c>
      <c r="F68" s="12" t="str">
        <f>LEFT(D68,LEN(D68)-1)</f>
        <v>page</v>
      </c>
      <c r="G68" s="12" t="str">
        <f>UPPER(LEFT(F68,1))&amp;RIGHT(F68,LEN(F68)-1)</f>
        <v>Page</v>
      </c>
    </row>
    <row r="69" spans="2:19" x14ac:dyDescent="0.25">
      <c r="C69" s="10" t="s">
        <v>83</v>
      </c>
      <c r="D69" s="10" t="s">
        <v>84</v>
      </c>
      <c r="G69" s="10" t="s">
        <v>83</v>
      </c>
      <c r="H69" s="10" t="s">
        <v>84</v>
      </c>
      <c r="J69" s="12" t="s">
        <v>402</v>
      </c>
      <c r="K69" s="12"/>
      <c r="M69" s="12" t="s">
        <v>91</v>
      </c>
      <c r="N69" s="12" t="s">
        <v>98</v>
      </c>
      <c r="S69" s="12" t="s">
        <v>415</v>
      </c>
    </row>
    <row r="70" spans="2:19" x14ac:dyDescent="0.25">
      <c r="B70" s="10" t="s">
        <v>63</v>
      </c>
      <c r="C70" s="9" t="s">
        <v>590</v>
      </c>
      <c r="D70" s="9" t="s">
        <v>93</v>
      </c>
      <c r="F70" s="10" t="s">
        <v>73</v>
      </c>
      <c r="G70" s="9"/>
      <c r="H70" s="9"/>
      <c r="J70" s="12">
        <f>IF(C70="",0,1)</f>
        <v>1</v>
      </c>
      <c r="K70" s="12">
        <f>IF(G70="",0,1)</f>
        <v>0</v>
      </c>
      <c r="M70" s="12" t="s">
        <v>92</v>
      </c>
      <c r="N70" s="61" t="str">
        <f>IF(AND(C70&lt;&gt;"",D70&lt;&gt;""),IF(N69="concatenator1","",",")&amp;C70&amp;":"&amp;D70,"")</f>
        <v>pagename:string</v>
      </c>
      <c r="O70" s="61" t="str">
        <f>IF(AND(G70&lt;&gt;"",H70&lt;&gt;""),","&amp;G70&amp;":"&amp;H70,"")</f>
        <v/>
      </c>
      <c r="P70" s="61" t="str">
        <f>P69&amp;N70</f>
        <v>pagename:string</v>
      </c>
      <c r="Q70" s="61" t="str">
        <f>Q69&amp;O70</f>
        <v/>
      </c>
      <c r="S70" s="61" t="s">
        <v>416</v>
      </c>
    </row>
    <row r="71" spans="2:19" x14ac:dyDescent="0.25">
      <c r="B71" s="10" t="s">
        <v>64</v>
      </c>
      <c r="C71" s="9" t="s">
        <v>591</v>
      </c>
      <c r="D71" s="9" t="s">
        <v>93</v>
      </c>
      <c r="F71" s="10" t="s">
        <v>74</v>
      </c>
      <c r="G71" s="9"/>
      <c r="H71" s="9"/>
      <c r="J71" s="12">
        <f t="shared" ref="J71:J79" si="0">IF(C71="",0,1)</f>
        <v>1</v>
      </c>
      <c r="K71" s="12">
        <f t="shared" ref="K71:K79" si="1">IF(G71="",0,1)</f>
        <v>0</v>
      </c>
      <c r="M71" s="12" t="s">
        <v>93</v>
      </c>
      <c r="N71" s="61" t="str">
        <f t="shared" ref="N71:N79" si="2">IF(AND(C71&lt;&gt;"",D71&lt;&gt;""),IF(N70="concatenator1","",",")&amp;C71&amp;":"&amp;D71,"")</f>
        <v>,pagedescription:string</v>
      </c>
      <c r="O71" s="61" t="str">
        <f t="shared" ref="O71:O79" si="3">IF(AND(G71&lt;&gt;"",H71&lt;&gt;""),","&amp;G71&amp;":"&amp;H71,"")</f>
        <v/>
      </c>
      <c r="P71" s="61" t="str">
        <f t="shared" ref="P71:P79" si="4">P70&amp;N71</f>
        <v>pagename:string,pagedescription:string</v>
      </c>
      <c r="Q71" s="61" t="str">
        <f t="shared" ref="Q71:Q79" si="5">Q70&amp;O71</f>
        <v/>
      </c>
      <c r="S71" s="61" t="s">
        <v>417</v>
      </c>
    </row>
    <row r="72" spans="2:19" x14ac:dyDescent="0.25">
      <c r="B72" s="10" t="s">
        <v>65</v>
      </c>
      <c r="C72" s="9"/>
      <c r="D72" s="9"/>
      <c r="F72" s="10" t="s">
        <v>75</v>
      </c>
      <c r="G72" s="9"/>
      <c r="H72" s="9"/>
      <c r="J72" s="12">
        <f t="shared" si="0"/>
        <v>0</v>
      </c>
      <c r="K72" s="12">
        <f t="shared" si="1"/>
        <v>0</v>
      </c>
      <c r="M72" s="12" t="s">
        <v>94</v>
      </c>
      <c r="N72" s="61" t="str">
        <f t="shared" si="2"/>
        <v/>
      </c>
      <c r="O72" s="61" t="str">
        <f t="shared" si="3"/>
        <v/>
      </c>
      <c r="P72" s="61" t="str">
        <f t="shared" si="4"/>
        <v>pagename:string,pagedescription:string</v>
      </c>
      <c r="Q72" s="61" t="str">
        <f t="shared" si="5"/>
        <v/>
      </c>
    </row>
    <row r="73" spans="2:19" x14ac:dyDescent="0.25">
      <c r="B73" s="10" t="s">
        <v>66</v>
      </c>
      <c r="C73" s="9"/>
      <c r="D73" s="9"/>
      <c r="F73" s="10" t="s">
        <v>76</v>
      </c>
      <c r="G73" s="9"/>
      <c r="H73" s="9"/>
      <c r="J73" s="12">
        <f t="shared" si="0"/>
        <v>0</v>
      </c>
      <c r="K73" s="12">
        <f t="shared" si="1"/>
        <v>0</v>
      </c>
      <c r="M73" s="12" t="s">
        <v>95</v>
      </c>
      <c r="N73" s="61" t="str">
        <f t="shared" si="2"/>
        <v/>
      </c>
      <c r="O73" s="61" t="str">
        <f t="shared" si="3"/>
        <v/>
      </c>
      <c r="P73" s="61" t="str">
        <f t="shared" si="4"/>
        <v>pagename:string,pagedescription:string</v>
      </c>
      <c r="Q73" s="61" t="str">
        <f t="shared" si="5"/>
        <v/>
      </c>
    </row>
    <row r="74" spans="2:19" x14ac:dyDescent="0.25">
      <c r="B74" s="10" t="s">
        <v>67</v>
      </c>
      <c r="C74" s="9"/>
      <c r="D74" s="9"/>
      <c r="F74" s="10" t="s">
        <v>77</v>
      </c>
      <c r="G74" s="9"/>
      <c r="H74" s="9"/>
      <c r="J74" s="12">
        <f t="shared" si="0"/>
        <v>0</v>
      </c>
      <c r="K74" s="12">
        <f t="shared" si="1"/>
        <v>0</v>
      </c>
      <c r="M74" s="12" t="s">
        <v>400</v>
      </c>
      <c r="N74" s="61" t="str">
        <f t="shared" si="2"/>
        <v/>
      </c>
      <c r="O74" s="61" t="str">
        <f t="shared" si="3"/>
        <v/>
      </c>
      <c r="P74" s="61" t="str">
        <f t="shared" si="4"/>
        <v>pagename:string,pagedescription:string</v>
      </c>
      <c r="Q74" s="61" t="str">
        <f t="shared" si="5"/>
        <v/>
      </c>
    </row>
    <row r="75" spans="2:19" x14ac:dyDescent="0.25">
      <c r="B75" s="10" t="s">
        <v>68</v>
      </c>
      <c r="C75" s="9"/>
      <c r="D75" s="9"/>
      <c r="F75" s="10" t="s">
        <v>78</v>
      </c>
      <c r="G75" s="9"/>
      <c r="H75" s="9"/>
      <c r="J75" s="12">
        <f t="shared" si="0"/>
        <v>0</v>
      </c>
      <c r="K75" s="12">
        <f t="shared" si="1"/>
        <v>0</v>
      </c>
      <c r="M75" s="12" t="s">
        <v>401</v>
      </c>
      <c r="N75" s="61" t="str">
        <f t="shared" si="2"/>
        <v/>
      </c>
      <c r="O75" s="61" t="str">
        <f t="shared" si="3"/>
        <v/>
      </c>
      <c r="P75" s="61" t="str">
        <f t="shared" si="4"/>
        <v>pagename:string,pagedescription:string</v>
      </c>
      <c r="Q75" s="61" t="str">
        <f t="shared" si="5"/>
        <v/>
      </c>
    </row>
    <row r="76" spans="2:19" x14ac:dyDescent="0.25">
      <c r="B76" s="10" t="s">
        <v>69</v>
      </c>
      <c r="C76" s="9"/>
      <c r="D76" s="9"/>
      <c r="F76" s="10" t="s">
        <v>79</v>
      </c>
      <c r="G76" s="9"/>
      <c r="H76" s="9"/>
      <c r="J76" s="12">
        <f t="shared" si="0"/>
        <v>0</v>
      </c>
      <c r="K76" s="12">
        <f t="shared" si="1"/>
        <v>0</v>
      </c>
      <c r="M76" s="12" t="s">
        <v>413</v>
      </c>
      <c r="N76" s="61" t="str">
        <f t="shared" si="2"/>
        <v/>
      </c>
      <c r="O76" s="61" t="str">
        <f t="shared" si="3"/>
        <v/>
      </c>
      <c r="P76" s="61" t="str">
        <f t="shared" si="4"/>
        <v>pagename:string,pagedescription:string</v>
      </c>
      <c r="Q76" s="61" t="str">
        <f t="shared" si="5"/>
        <v/>
      </c>
    </row>
    <row r="77" spans="2:19" x14ac:dyDescent="0.25">
      <c r="B77" s="10" t="s">
        <v>70</v>
      </c>
      <c r="C77" s="9"/>
      <c r="D77" s="9"/>
      <c r="F77" s="10" t="s">
        <v>80</v>
      </c>
      <c r="G77" s="9"/>
      <c r="H77" s="9"/>
      <c r="J77" s="12">
        <f t="shared" si="0"/>
        <v>0</v>
      </c>
      <c r="K77" s="12">
        <f t="shared" si="1"/>
        <v>0</v>
      </c>
      <c r="M77" s="12" t="s">
        <v>414</v>
      </c>
      <c r="N77" s="61" t="str">
        <f t="shared" si="2"/>
        <v/>
      </c>
      <c r="O77" s="61" t="str">
        <f t="shared" si="3"/>
        <v/>
      </c>
      <c r="P77" s="61" t="str">
        <f t="shared" si="4"/>
        <v>pagename:string,pagedescription:string</v>
      </c>
      <c r="Q77" s="61" t="str">
        <f t="shared" si="5"/>
        <v/>
      </c>
    </row>
    <row r="78" spans="2:19" x14ac:dyDescent="0.25">
      <c r="B78" s="10" t="s">
        <v>71</v>
      </c>
      <c r="C78" s="9"/>
      <c r="D78" s="9"/>
      <c r="F78" s="10" t="s">
        <v>81</v>
      </c>
      <c r="G78" s="9"/>
      <c r="H78" s="9"/>
      <c r="J78" s="12">
        <f t="shared" si="0"/>
        <v>0</v>
      </c>
      <c r="K78" s="12">
        <f t="shared" si="1"/>
        <v>0</v>
      </c>
      <c r="M78" s="12" t="s">
        <v>96</v>
      </c>
      <c r="N78" s="61" t="str">
        <f t="shared" si="2"/>
        <v/>
      </c>
      <c r="O78" s="61" t="str">
        <f t="shared" si="3"/>
        <v/>
      </c>
      <c r="P78" s="61" t="str">
        <f t="shared" si="4"/>
        <v>pagename:string,pagedescription:string</v>
      </c>
      <c r="Q78" s="61" t="str">
        <f t="shared" si="5"/>
        <v/>
      </c>
    </row>
    <row r="79" spans="2:19" x14ac:dyDescent="0.25">
      <c r="B79" s="10" t="s">
        <v>72</v>
      </c>
      <c r="C79" s="9"/>
      <c r="D79" s="9"/>
      <c r="F79" s="10" t="s">
        <v>82</v>
      </c>
      <c r="G79" s="9"/>
      <c r="H79" s="9"/>
      <c r="J79" s="12">
        <f t="shared" si="0"/>
        <v>0</v>
      </c>
      <c r="K79" s="12">
        <f t="shared" si="1"/>
        <v>0</v>
      </c>
      <c r="M79" s="12" t="s">
        <v>97</v>
      </c>
      <c r="N79" s="61" t="str">
        <f t="shared" si="2"/>
        <v/>
      </c>
      <c r="O79" s="61" t="str">
        <f t="shared" si="3"/>
        <v/>
      </c>
      <c r="P79" s="61" t="str">
        <f t="shared" si="4"/>
        <v>pagename:string,pagedescription:string</v>
      </c>
      <c r="Q79" s="61" t="str">
        <f t="shared" si="5"/>
        <v/>
      </c>
    </row>
    <row r="82" spans="2:11" x14ac:dyDescent="0.25">
      <c r="B82" s="10" t="s">
        <v>85</v>
      </c>
    </row>
    <row r="83" spans="2:11" x14ac:dyDescent="0.25">
      <c r="B83" s="17" t="s">
        <v>86</v>
      </c>
      <c r="C83" s="17" t="str">
        <f>A4&amp;A5&amp;A6&amp;D68&amp;B1&amp;M65</f>
        <v>php artisan generate:migration create_pages_table --fields="pagename:string,pagedescription:string"</v>
      </c>
      <c r="D83" s="17"/>
      <c r="E83" s="17"/>
      <c r="F83" s="17"/>
      <c r="G83" s="17"/>
    </row>
    <row r="84" spans="2:11" x14ac:dyDescent="0.25">
      <c r="B84" s="17" t="s">
        <v>86</v>
      </c>
      <c r="C84" s="17" t="s">
        <v>55</v>
      </c>
      <c r="D84" s="17"/>
      <c r="E84" s="17"/>
      <c r="F84" s="17"/>
      <c r="G84" s="17"/>
    </row>
    <row r="85" spans="2:11" x14ac:dyDescent="0.25">
      <c r="B85" s="17" t="s">
        <v>86</v>
      </c>
      <c r="C85" s="17" t="str">
        <f>A4&amp;B4&amp;G68</f>
        <v>php artisan generate:model Page</v>
      </c>
      <c r="D85" s="17"/>
      <c r="E85" s="17"/>
      <c r="F85" s="17"/>
      <c r="G85" s="17"/>
    </row>
    <row r="88" spans="2:11" x14ac:dyDescent="0.25">
      <c r="B88" s="10" t="s">
        <v>259</v>
      </c>
    </row>
    <row r="89" spans="2:11" x14ac:dyDescent="0.25">
      <c r="B89" s="12" t="s">
        <v>122</v>
      </c>
      <c r="C89" s="12"/>
      <c r="D89" s="12" t="str">
        <f>D68</f>
        <v>pages</v>
      </c>
    </row>
    <row r="90" spans="2:11" x14ac:dyDescent="0.25">
      <c r="B90" s="10" t="s">
        <v>260</v>
      </c>
      <c r="D90" s="9" t="s">
        <v>373</v>
      </c>
    </row>
    <row r="91" spans="2:11" x14ac:dyDescent="0.25">
      <c r="B91" s="10" t="s">
        <v>261</v>
      </c>
      <c r="D91" s="9" t="s">
        <v>93</v>
      </c>
    </row>
    <row r="92" spans="2:11" x14ac:dyDescent="0.25">
      <c r="B92" s="17" t="s">
        <v>86</v>
      </c>
      <c r="C92" s="17" t="str">
        <f>C3&amp;D90&amp;C4&amp;D89&amp;C5&amp;C6&amp;D90&amp;":"&amp;D91&amp;C6</f>
        <v>php artisan generate:migration add_bottnk_to_pages_table --fields="bottnk:string"</v>
      </c>
      <c r="D92" s="17"/>
      <c r="E92" s="17"/>
      <c r="F92" s="17"/>
      <c r="G92" s="17"/>
      <c r="H92" s="17"/>
      <c r="I92" s="17"/>
      <c r="J92" s="17"/>
      <c r="K92" s="17"/>
    </row>
    <row r="93" spans="2:11" x14ac:dyDescent="0.25">
      <c r="B93" s="17" t="s">
        <v>86</v>
      </c>
      <c r="C93" s="17" t="s">
        <v>55</v>
      </c>
      <c r="D93" s="17"/>
      <c r="E93" s="17"/>
      <c r="F93" s="17"/>
      <c r="G93" s="17"/>
    </row>
    <row r="96" spans="2:11" x14ac:dyDescent="0.25">
      <c r="B96" s="10" t="s">
        <v>391</v>
      </c>
    </row>
    <row r="97" spans="2:2" x14ac:dyDescent="0.25">
      <c r="B97" s="10" t="s">
        <v>392</v>
      </c>
    </row>
    <row r="98" spans="2:2" x14ac:dyDescent="0.25">
      <c r="B98" s="10" t="s">
        <v>393</v>
      </c>
    </row>
  </sheetData>
  <dataValidations count="2">
    <dataValidation type="list" allowBlank="1" showInputMessage="1" showErrorMessage="1" sqref="D70:D79 H70:H79">
      <formula1>$M$70:$M$79</formula1>
    </dataValidation>
    <dataValidation type="list" allowBlank="1" showInputMessage="1" showErrorMessage="1" errorTitle="Error" error="Select from list" sqref="C16">
      <formula1>$S$70:$S$71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1" workbookViewId="0">
      <selection activeCell="C36" sqref="C36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hidden="1" x14ac:dyDescent="0.25">
      <c r="B1" s="6" t="s">
        <v>0</v>
      </c>
    </row>
    <row r="2" spans="2:8" hidden="1" x14ac:dyDescent="0.25"/>
    <row r="3" spans="2:8" hidden="1" x14ac:dyDescent="0.25">
      <c r="B3" s="3" t="s">
        <v>1</v>
      </c>
    </row>
    <row r="4" spans="2:8" hidden="1" x14ac:dyDescent="0.25">
      <c r="C4" s="2" t="s">
        <v>2</v>
      </c>
      <c r="D4" s="2"/>
      <c r="E4" s="2"/>
      <c r="F4" s="2"/>
      <c r="G4" s="2"/>
      <c r="H4" s="2"/>
    </row>
    <row r="5" spans="2:8" hidden="1" x14ac:dyDescent="0.25"/>
    <row r="6" spans="2:8" hidden="1" x14ac:dyDescent="0.25">
      <c r="B6" s="3" t="s">
        <v>3</v>
      </c>
    </row>
    <row r="7" spans="2:8" hidden="1" x14ac:dyDescent="0.25">
      <c r="C7" s="2" t="s">
        <v>4</v>
      </c>
      <c r="D7" s="2"/>
      <c r="E7" s="2"/>
      <c r="F7" s="2"/>
    </row>
    <row r="8" spans="2:8" hidden="1" x14ac:dyDescent="0.25">
      <c r="C8" s="2" t="s">
        <v>7</v>
      </c>
      <c r="D8" s="2"/>
      <c r="E8" s="2" t="s">
        <v>8</v>
      </c>
      <c r="F8" s="2"/>
    </row>
    <row r="9" spans="2:8" hidden="1" x14ac:dyDescent="0.25"/>
    <row r="10" spans="2:8" hidden="1" x14ac:dyDescent="0.25">
      <c r="B10" s="3" t="s">
        <v>5</v>
      </c>
    </row>
    <row r="11" spans="2:8" hidden="1" x14ac:dyDescent="0.25"/>
    <row r="12" spans="2:8" hidden="1" x14ac:dyDescent="0.25">
      <c r="B12" s="3" t="s">
        <v>6</v>
      </c>
    </row>
    <row r="13" spans="2:8" hidden="1" x14ac:dyDescent="0.25">
      <c r="C13" s="2" t="s">
        <v>7</v>
      </c>
      <c r="D13" s="2"/>
      <c r="E13" s="2" t="s">
        <v>9</v>
      </c>
      <c r="F13" s="2"/>
      <c r="G13" s="3" t="s">
        <v>10</v>
      </c>
    </row>
    <row r="14" spans="2:8" hidden="1" x14ac:dyDescent="0.25"/>
    <row r="15" spans="2:8" hidden="1" x14ac:dyDescent="0.25"/>
    <row r="16" spans="2:8" hidden="1" x14ac:dyDescent="0.25">
      <c r="B16" s="6" t="s">
        <v>11</v>
      </c>
    </row>
    <row r="17" spans="2:9" hidden="1" x14ac:dyDescent="0.25">
      <c r="B17" s="3" t="s">
        <v>12</v>
      </c>
    </row>
    <row r="18" spans="2:9" hidden="1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19" spans="2:9" hidden="1" x14ac:dyDescent="0.25"/>
    <row r="20" spans="2:9" hidden="1" x14ac:dyDescent="0.25"/>
    <row r="21" spans="2:9" hidden="1" x14ac:dyDescent="0.25">
      <c r="B21" s="3" t="s">
        <v>14</v>
      </c>
    </row>
    <row r="22" spans="2:9" hidden="1" x14ac:dyDescent="0.25">
      <c r="B22" s="3" t="s">
        <v>15</v>
      </c>
    </row>
    <row r="23" spans="2:9" hidden="1" x14ac:dyDescent="0.25">
      <c r="C23" s="5" t="s">
        <v>16</v>
      </c>
      <c r="D23" s="4"/>
      <c r="E23" s="4"/>
    </row>
    <row r="24" spans="2:9" hidden="1" x14ac:dyDescent="0.25">
      <c r="C24" s="3" t="s">
        <v>17</v>
      </c>
    </row>
    <row r="25" spans="2:9" hidden="1" x14ac:dyDescent="0.25"/>
    <row r="26" spans="2:9" hidden="1" x14ac:dyDescent="0.25">
      <c r="B26" s="3" t="s">
        <v>22</v>
      </c>
    </row>
    <row r="27" spans="2:9" hidden="1" x14ac:dyDescent="0.25">
      <c r="B27" s="3" t="s">
        <v>23</v>
      </c>
    </row>
    <row r="28" spans="2:9" hidden="1" x14ac:dyDescent="0.25">
      <c r="C28" s="5" t="s">
        <v>20</v>
      </c>
      <c r="D28" s="4"/>
      <c r="E28" s="4"/>
      <c r="F28" s="4"/>
    </row>
    <row r="29" spans="2:9" hidden="1" x14ac:dyDescent="0.25">
      <c r="C29" s="4" t="s">
        <v>18</v>
      </c>
      <c r="D29" s="4"/>
      <c r="E29" s="4"/>
      <c r="F29" s="4"/>
    </row>
    <row r="30" spans="2:9" hidden="1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opLeftCell="A7" workbookViewId="0">
      <selection activeCell="B8" sqref="B8"/>
    </sheetView>
  </sheetViews>
  <sheetFormatPr baseColWidth="10" defaultRowHeight="15" x14ac:dyDescent="0.25"/>
  <cols>
    <col min="1" max="16384" width="11.42578125" style="10"/>
  </cols>
  <sheetData>
    <row r="1" spans="1:15" s="13" customFormat="1" hidden="1" x14ac:dyDescent="0.25">
      <c r="A1" s="13" t="s">
        <v>177</v>
      </c>
      <c r="B1" s="14" t="s">
        <v>265</v>
      </c>
      <c r="C1" s="13" t="s">
        <v>272</v>
      </c>
    </row>
    <row r="2" spans="1:15" s="13" customFormat="1" hidden="1" x14ac:dyDescent="0.25">
      <c r="A2" s="13" t="s">
        <v>178</v>
      </c>
      <c r="B2" s="14" t="s">
        <v>187</v>
      </c>
      <c r="C2" s="14" t="s">
        <v>276</v>
      </c>
    </row>
    <row r="3" spans="1:15" s="13" customFormat="1" hidden="1" x14ac:dyDescent="0.25">
      <c r="A3" s="14" t="s">
        <v>180</v>
      </c>
      <c r="B3" s="14" t="s">
        <v>267</v>
      </c>
      <c r="C3" s="14" t="s">
        <v>411</v>
      </c>
    </row>
    <row r="4" spans="1:15" s="13" customFormat="1" hidden="1" x14ac:dyDescent="0.25">
      <c r="A4" s="14" t="s">
        <v>181</v>
      </c>
      <c r="B4" s="14" t="s">
        <v>268</v>
      </c>
    </row>
    <row r="5" spans="1:15" s="13" customFormat="1" hidden="1" x14ac:dyDescent="0.25">
      <c r="A5" s="13" t="s">
        <v>179</v>
      </c>
      <c r="B5" s="14" t="s">
        <v>269</v>
      </c>
    </row>
    <row r="6" spans="1:15" s="13" customFormat="1" hidden="1" x14ac:dyDescent="0.25">
      <c r="A6" s="14" t="s">
        <v>183</v>
      </c>
      <c r="B6" s="14" t="s">
        <v>271</v>
      </c>
    </row>
    <row r="8" spans="1:15" x14ac:dyDescent="0.25">
      <c r="B8" s="15" t="s">
        <v>166</v>
      </c>
    </row>
    <row r="9" spans="1:15" x14ac:dyDescent="0.25">
      <c r="B9" s="10" t="s">
        <v>167</v>
      </c>
    </row>
    <row r="11" spans="1:15" x14ac:dyDescent="0.25">
      <c r="B11" s="10" t="s">
        <v>168</v>
      </c>
    </row>
    <row r="12" spans="1:15" x14ac:dyDescent="0.25">
      <c r="B12" s="10" t="s">
        <v>169</v>
      </c>
    </row>
    <row r="13" spans="1:15" x14ac:dyDescent="0.25">
      <c r="B13" s="10" t="s">
        <v>170</v>
      </c>
    </row>
    <row r="14" spans="1:15" x14ac:dyDescent="0.25">
      <c r="B14" s="10" t="s">
        <v>171</v>
      </c>
    </row>
    <row r="16" spans="1:15" x14ac:dyDescent="0.25">
      <c r="B16" s="15" t="s">
        <v>172</v>
      </c>
      <c r="C16" s="15" t="s">
        <v>173</v>
      </c>
      <c r="E16" s="15" t="s">
        <v>174</v>
      </c>
      <c r="H16" s="15" t="s">
        <v>172</v>
      </c>
      <c r="I16" s="15" t="s">
        <v>173</v>
      </c>
      <c r="K16" s="15" t="s">
        <v>174</v>
      </c>
      <c r="N16" s="10" t="s">
        <v>186</v>
      </c>
      <c r="O16" s="10" t="s">
        <v>186</v>
      </c>
    </row>
    <row r="17" spans="2:15" x14ac:dyDescent="0.25">
      <c r="B17" s="25" t="str">
        <f>IF('AutoLaravel v1'!C70&lt;&gt;"",'AutoLaravel v1'!C70,"")</f>
        <v>pagename</v>
      </c>
      <c r="C17" s="26" t="str">
        <f>IF(B17="","",'AutoLaravel v1'!$D$68&amp;"_"&amp;B17)</f>
        <v>pages_pagename</v>
      </c>
      <c r="D17" s="26"/>
      <c r="E17" s="26" t="str">
        <f>IF(B17="","",C17&amp;$A$1)</f>
        <v>pages_pagename_mssg</v>
      </c>
      <c r="F17" s="27"/>
      <c r="H17" s="25" t="str">
        <f>IF('AutoLaravel v1'!G70&lt;&gt;"",'AutoLaravel v1'!G70,"")</f>
        <v/>
      </c>
      <c r="I17" s="26" t="str">
        <f>IF(H17&lt;&gt;"",'AutoLaravel v1'!$D$68&amp;"_"&amp;H17,"")</f>
        <v/>
      </c>
      <c r="J17" s="26"/>
      <c r="K17" s="26" t="str">
        <f t="shared" ref="K17:K26" si="0">I17&amp;$A$1</f>
        <v>_mssg</v>
      </c>
      <c r="L17" s="27"/>
      <c r="N17" s="33" t="str">
        <f>B17</f>
        <v>pagename</v>
      </c>
      <c r="O17" s="34" t="str">
        <f>IF(H17&lt;&gt;"",",","")&amp;H17</f>
        <v/>
      </c>
    </row>
    <row r="18" spans="2:15" x14ac:dyDescent="0.25">
      <c r="B18" s="28" t="str">
        <f>IF('AutoLaravel v1'!C71&lt;&gt;"",'AutoLaravel v1'!C71,"")</f>
        <v>pagedescription</v>
      </c>
      <c r="C18" s="24" t="str">
        <f>IF(B18="","",'AutoLaravel v1'!$D$68&amp;"_"&amp;B18)</f>
        <v>pages_pagedescription</v>
      </c>
      <c r="D18" s="24"/>
      <c r="E18" s="24" t="str">
        <f t="shared" ref="E18:E26" si="1">IF(B18="","",C18&amp;$A$1)</f>
        <v>pages_pagedescription_mssg</v>
      </c>
      <c r="F18" s="29"/>
      <c r="H18" s="28" t="str">
        <f>IF('AutoLaravel v1'!G71&lt;&gt;"",'AutoLaravel v1'!G71,"")</f>
        <v/>
      </c>
      <c r="I18" s="24" t="str">
        <f>IF(H18&lt;&gt;"",'AutoLaravel v1'!$D$68&amp;"_"&amp;H18,"")</f>
        <v/>
      </c>
      <c r="J18" s="24"/>
      <c r="K18" s="24" t="str">
        <f t="shared" si="0"/>
        <v>_mssg</v>
      </c>
      <c r="L18" s="29"/>
      <c r="N18" s="35" t="str">
        <f>IF(B18&lt;&gt;"",",","")&amp;B18</f>
        <v>,pagedescription</v>
      </c>
      <c r="O18" s="36" t="str">
        <f t="shared" ref="O18:O26" si="2">IF(H18&lt;&gt;"",",","")&amp;H18</f>
        <v/>
      </c>
    </row>
    <row r="19" spans="2:15" x14ac:dyDescent="0.25">
      <c r="B19" s="28" t="str">
        <f>IF('AutoLaravel v1'!C72&lt;&gt;"",'AutoLaravel v1'!C72,"")</f>
        <v/>
      </c>
      <c r="C19" s="24" t="str">
        <f>IF(B19="","",'AutoLaravel v1'!$D$68&amp;"_"&amp;B19)</f>
        <v/>
      </c>
      <c r="D19" s="24"/>
      <c r="E19" s="24" t="str">
        <f t="shared" si="1"/>
        <v/>
      </c>
      <c r="F19" s="29"/>
      <c r="H19" s="28" t="str">
        <f>IF('AutoLaravel v1'!G72&lt;&gt;"",'AutoLaravel v1'!G72,"")</f>
        <v/>
      </c>
      <c r="I19" s="24" t="str">
        <f>IF(H19&lt;&gt;"",'AutoLaravel v1'!$D$68&amp;"_"&amp;H19,"")</f>
        <v/>
      </c>
      <c r="J19" s="24"/>
      <c r="K19" s="24" t="str">
        <f t="shared" si="0"/>
        <v>_mssg</v>
      </c>
      <c r="L19" s="29"/>
      <c r="N19" s="35" t="str">
        <f t="shared" ref="N19:N26" si="3">IF(B19&lt;&gt;"",",","")&amp;B19</f>
        <v/>
      </c>
      <c r="O19" s="36" t="str">
        <f t="shared" si="2"/>
        <v/>
      </c>
    </row>
    <row r="20" spans="2:15" x14ac:dyDescent="0.25">
      <c r="B20" s="28" t="str">
        <f>IF('AutoLaravel v1'!C73&lt;&gt;"",'AutoLaravel v1'!C73,"")</f>
        <v/>
      </c>
      <c r="C20" s="24" t="str">
        <f>IF(B20="","",'AutoLaravel v1'!$D$68&amp;"_"&amp;B20)</f>
        <v/>
      </c>
      <c r="D20" s="24"/>
      <c r="E20" s="24" t="str">
        <f t="shared" si="1"/>
        <v/>
      </c>
      <c r="F20" s="29"/>
      <c r="H20" s="28" t="str">
        <f>IF('AutoLaravel v1'!G73&lt;&gt;"",'AutoLaravel v1'!G73,"")</f>
        <v/>
      </c>
      <c r="I20" s="24" t="str">
        <f>IF(H20&lt;&gt;"",'AutoLaravel v1'!$D$68&amp;"_"&amp;H20,"")</f>
        <v/>
      </c>
      <c r="J20" s="24"/>
      <c r="K20" s="24" t="str">
        <f t="shared" si="0"/>
        <v>_mssg</v>
      </c>
      <c r="L20" s="29"/>
      <c r="N20" s="35" t="str">
        <f t="shared" si="3"/>
        <v/>
      </c>
      <c r="O20" s="36" t="str">
        <f t="shared" si="2"/>
        <v/>
      </c>
    </row>
    <row r="21" spans="2:15" x14ac:dyDescent="0.25">
      <c r="B21" s="28" t="str">
        <f>IF('AutoLaravel v1'!C74&lt;&gt;"",'AutoLaravel v1'!C74,"")</f>
        <v/>
      </c>
      <c r="C21" s="24" t="str">
        <f>IF(B21="","",'AutoLaravel v1'!$D$68&amp;"_"&amp;B21)</f>
        <v/>
      </c>
      <c r="D21" s="24"/>
      <c r="E21" s="24" t="str">
        <f t="shared" si="1"/>
        <v/>
      </c>
      <c r="F21" s="29"/>
      <c r="H21" s="28" t="str">
        <f>IF('AutoLaravel v1'!G74&lt;&gt;"",'AutoLaravel v1'!G74,"")</f>
        <v/>
      </c>
      <c r="I21" s="24" t="str">
        <f>IF(H21&lt;&gt;"",'AutoLaravel v1'!$D$68&amp;"_"&amp;H21,"")</f>
        <v/>
      </c>
      <c r="J21" s="24"/>
      <c r="K21" s="24" t="str">
        <f t="shared" si="0"/>
        <v>_mssg</v>
      </c>
      <c r="L21" s="29"/>
      <c r="N21" s="35" t="str">
        <f t="shared" si="3"/>
        <v/>
      </c>
      <c r="O21" s="36" t="str">
        <f t="shared" si="2"/>
        <v/>
      </c>
    </row>
    <row r="22" spans="2:15" x14ac:dyDescent="0.25">
      <c r="B22" s="28" t="str">
        <f>IF('AutoLaravel v1'!C75&lt;&gt;"",'AutoLaravel v1'!C75,"")</f>
        <v/>
      </c>
      <c r="C22" s="24" t="str">
        <f>IF(B22="","",'AutoLaravel v1'!$D$68&amp;"_"&amp;B22)</f>
        <v/>
      </c>
      <c r="D22" s="24"/>
      <c r="E22" s="24" t="str">
        <f t="shared" si="1"/>
        <v/>
      </c>
      <c r="F22" s="29"/>
      <c r="H22" s="28" t="str">
        <f>IF('AutoLaravel v1'!G75&lt;&gt;"",'AutoLaravel v1'!G75,"")</f>
        <v/>
      </c>
      <c r="I22" s="24" t="str">
        <f>IF(H22&lt;&gt;"",'AutoLaravel v1'!$D$68&amp;"_"&amp;H22,"")</f>
        <v/>
      </c>
      <c r="J22" s="24"/>
      <c r="K22" s="24" t="str">
        <f t="shared" si="0"/>
        <v>_mssg</v>
      </c>
      <c r="L22" s="29"/>
      <c r="N22" s="35" t="str">
        <f t="shared" si="3"/>
        <v/>
      </c>
      <c r="O22" s="36" t="str">
        <f t="shared" si="2"/>
        <v/>
      </c>
    </row>
    <row r="23" spans="2:15" x14ac:dyDescent="0.25">
      <c r="B23" s="28" t="str">
        <f>IF('AutoLaravel v1'!C76&lt;&gt;"",'AutoLaravel v1'!C76,"")</f>
        <v/>
      </c>
      <c r="C23" s="24" t="str">
        <f>IF(B23="","",'AutoLaravel v1'!$D$68&amp;"_"&amp;B23)</f>
        <v/>
      </c>
      <c r="D23" s="24"/>
      <c r="E23" s="24" t="str">
        <f t="shared" si="1"/>
        <v/>
      </c>
      <c r="F23" s="29"/>
      <c r="H23" s="28" t="str">
        <f>IF('AutoLaravel v1'!G76&lt;&gt;"",'AutoLaravel v1'!G76,"")</f>
        <v/>
      </c>
      <c r="I23" s="24" t="str">
        <f>IF(H23&lt;&gt;"",'AutoLaravel v1'!$D$68&amp;"_"&amp;H23,"")</f>
        <v/>
      </c>
      <c r="J23" s="24"/>
      <c r="K23" s="24" t="str">
        <f t="shared" si="0"/>
        <v>_mssg</v>
      </c>
      <c r="L23" s="29"/>
      <c r="N23" s="35" t="str">
        <f t="shared" si="3"/>
        <v/>
      </c>
      <c r="O23" s="36" t="str">
        <f t="shared" si="2"/>
        <v/>
      </c>
    </row>
    <row r="24" spans="2:15" x14ac:dyDescent="0.25">
      <c r="B24" s="28" t="str">
        <f>IF('AutoLaravel v1'!C77&lt;&gt;"",'AutoLaravel v1'!C77,"")</f>
        <v/>
      </c>
      <c r="C24" s="24" t="str">
        <f>IF(B24="","",'AutoLaravel v1'!$D$68&amp;"_"&amp;B24)</f>
        <v/>
      </c>
      <c r="D24" s="24"/>
      <c r="E24" s="24" t="str">
        <f t="shared" si="1"/>
        <v/>
      </c>
      <c r="F24" s="29"/>
      <c r="H24" s="28" t="str">
        <f>IF('AutoLaravel v1'!G77&lt;&gt;"",'AutoLaravel v1'!G77,"")</f>
        <v/>
      </c>
      <c r="I24" s="24" t="str">
        <f>IF(H24&lt;&gt;"",'AutoLaravel v1'!$D$68&amp;"_"&amp;H24,"")</f>
        <v/>
      </c>
      <c r="J24" s="24"/>
      <c r="K24" s="24" t="str">
        <f t="shared" si="0"/>
        <v>_mssg</v>
      </c>
      <c r="L24" s="29"/>
      <c r="N24" s="35" t="str">
        <f t="shared" si="3"/>
        <v/>
      </c>
      <c r="O24" s="36" t="str">
        <f t="shared" si="2"/>
        <v/>
      </c>
    </row>
    <row r="25" spans="2:15" x14ac:dyDescent="0.25">
      <c r="B25" s="28" t="str">
        <f>IF('AutoLaravel v1'!C78&lt;&gt;"",'AutoLaravel v1'!C78,"")</f>
        <v/>
      </c>
      <c r="C25" s="24" t="str">
        <f>IF(B25="","",'AutoLaravel v1'!$D$68&amp;"_"&amp;B25)</f>
        <v/>
      </c>
      <c r="D25" s="24"/>
      <c r="E25" s="24" t="str">
        <f t="shared" si="1"/>
        <v/>
      </c>
      <c r="F25" s="29"/>
      <c r="H25" s="28" t="str">
        <f>IF('AutoLaravel v1'!G78&lt;&gt;"",'AutoLaravel v1'!G78,"")</f>
        <v/>
      </c>
      <c r="I25" s="24" t="str">
        <f>IF(H25&lt;&gt;"",'AutoLaravel v1'!$D$68&amp;"_"&amp;H25,"")</f>
        <v/>
      </c>
      <c r="J25" s="24"/>
      <c r="K25" s="24" t="str">
        <f t="shared" si="0"/>
        <v>_mssg</v>
      </c>
      <c r="L25" s="29"/>
      <c r="N25" s="35" t="str">
        <f t="shared" si="3"/>
        <v/>
      </c>
      <c r="O25" s="36" t="str">
        <f t="shared" si="2"/>
        <v/>
      </c>
    </row>
    <row r="26" spans="2:15" x14ac:dyDescent="0.25">
      <c r="B26" s="30" t="str">
        <f>IF('AutoLaravel v1'!C79&lt;&gt;"",'AutoLaravel v1'!C79,"")</f>
        <v/>
      </c>
      <c r="C26" s="31" t="str">
        <f>IF(B26="","",'AutoLaravel v1'!$D$68&amp;"_"&amp;B26)</f>
        <v/>
      </c>
      <c r="D26" s="31"/>
      <c r="E26" s="31" t="str">
        <f t="shared" si="1"/>
        <v/>
      </c>
      <c r="F26" s="32"/>
      <c r="H26" s="30" t="str">
        <f>IF('AutoLaravel v1'!G79&lt;&gt;"",'AutoLaravel v1'!G79,"")</f>
        <v/>
      </c>
      <c r="I26" s="31" t="str">
        <f>IF(H26&lt;&gt;"",'AutoLaravel v1'!$D$68&amp;"_"&amp;H26,"")</f>
        <v/>
      </c>
      <c r="J26" s="31"/>
      <c r="K26" s="31" t="str">
        <f t="shared" si="0"/>
        <v>_mssg</v>
      </c>
      <c r="L26" s="32"/>
      <c r="N26" s="37" t="str">
        <f t="shared" si="3"/>
        <v/>
      </c>
      <c r="O26" s="38" t="str">
        <f t="shared" si="2"/>
        <v/>
      </c>
    </row>
    <row r="28" spans="2:15" x14ac:dyDescent="0.25">
      <c r="B28" s="10" t="s">
        <v>266</v>
      </c>
    </row>
    <row r="30" spans="2:15" x14ac:dyDescent="0.25">
      <c r="B30" s="46" t="str">
        <f>IF(C17&lt;&gt;"",B17&amp;$B$3&amp;C17&amp;$B$4&amp;E17&amp;$B$5,"")</f>
        <v>pagename&lt;input type='text' id='pages_pagename'&gt;&lt;spam id='pages_pagename_mssg'&gt;&lt;/spam&gt;</v>
      </c>
      <c r="C30" s="23"/>
      <c r="D30" s="23"/>
      <c r="E30" s="23"/>
      <c r="F30" s="23"/>
      <c r="G30" s="23"/>
      <c r="H30" s="46" t="str">
        <f>IF(I17&lt;&gt;"",H17&amp;$B$3&amp;I17&amp;$B$4&amp;K17&amp;$B$5,"")</f>
        <v/>
      </c>
      <c r="I30" s="23"/>
      <c r="J30" s="23"/>
      <c r="K30" s="23"/>
      <c r="L30" s="23"/>
      <c r="M30" s="23"/>
    </row>
    <row r="31" spans="2:15" x14ac:dyDescent="0.25">
      <c r="B31" s="46" t="str">
        <f t="shared" ref="B31:B39" si="4">IF(C18&lt;&gt;"",B18&amp;$B$3&amp;C18&amp;$B$4&amp;E18&amp;$B$5,"")</f>
        <v>pagedescription&lt;input type='text' id='pages_pagedescription'&gt;&lt;spam id='pages_pagedescription_mssg'&gt;&lt;/spam&gt;</v>
      </c>
      <c r="C31" s="23"/>
      <c r="D31" s="23"/>
      <c r="E31" s="23"/>
      <c r="F31" s="23"/>
      <c r="G31" s="23"/>
      <c r="H31" s="46" t="str">
        <f t="shared" ref="H31:H39" si="5">IF(I18&lt;&gt;"",H18&amp;$B$3&amp;I18&amp;$B$4&amp;K18&amp;$B$5,"")</f>
        <v/>
      </c>
      <c r="I31" s="23"/>
      <c r="J31" s="23"/>
      <c r="K31" s="23"/>
      <c r="L31" s="23"/>
      <c r="M31" s="23"/>
    </row>
    <row r="32" spans="2:15" x14ac:dyDescent="0.25">
      <c r="B32" s="46" t="str">
        <f t="shared" si="4"/>
        <v/>
      </c>
      <c r="C32" s="23"/>
      <c r="D32" s="23"/>
      <c r="E32" s="23"/>
      <c r="F32" s="23"/>
      <c r="G32" s="23"/>
      <c r="H32" s="46" t="str">
        <f t="shared" si="5"/>
        <v/>
      </c>
      <c r="I32" s="23"/>
      <c r="J32" s="23"/>
      <c r="K32" s="23"/>
      <c r="L32" s="23"/>
      <c r="M32" s="23"/>
    </row>
    <row r="33" spans="2:13" x14ac:dyDescent="0.25">
      <c r="B33" s="46" t="str">
        <f t="shared" si="4"/>
        <v/>
      </c>
      <c r="C33" s="23"/>
      <c r="D33" s="23"/>
      <c r="E33" s="23"/>
      <c r="F33" s="23"/>
      <c r="G33" s="23"/>
      <c r="H33" s="46" t="str">
        <f t="shared" si="5"/>
        <v/>
      </c>
      <c r="I33" s="23"/>
      <c r="J33" s="23"/>
      <c r="K33" s="23"/>
      <c r="L33" s="23"/>
      <c r="M33" s="23"/>
    </row>
    <row r="34" spans="2:13" x14ac:dyDescent="0.25">
      <c r="B34" s="46" t="str">
        <f t="shared" si="4"/>
        <v/>
      </c>
      <c r="C34" s="23"/>
      <c r="D34" s="23"/>
      <c r="E34" s="23"/>
      <c r="F34" s="23"/>
      <c r="G34" s="23"/>
      <c r="H34" s="46" t="str">
        <f t="shared" si="5"/>
        <v/>
      </c>
      <c r="I34" s="23"/>
      <c r="J34" s="23"/>
      <c r="K34" s="23"/>
      <c r="L34" s="23"/>
      <c r="M34" s="23"/>
    </row>
    <row r="35" spans="2:13" x14ac:dyDescent="0.25">
      <c r="B35" s="46" t="str">
        <f t="shared" si="4"/>
        <v/>
      </c>
      <c r="C35" s="23"/>
      <c r="D35" s="23"/>
      <c r="E35" s="23"/>
      <c r="F35" s="23"/>
      <c r="G35" s="23"/>
      <c r="H35" s="46" t="str">
        <f t="shared" si="5"/>
        <v/>
      </c>
      <c r="I35" s="23"/>
      <c r="J35" s="23"/>
      <c r="K35" s="23"/>
      <c r="L35" s="23"/>
      <c r="M35" s="23"/>
    </row>
    <row r="36" spans="2:13" x14ac:dyDescent="0.25">
      <c r="B36" s="46" t="str">
        <f t="shared" si="4"/>
        <v/>
      </c>
      <c r="C36" s="23"/>
      <c r="D36" s="23"/>
      <c r="E36" s="23"/>
      <c r="F36" s="23"/>
      <c r="G36" s="23"/>
      <c r="H36" s="46" t="str">
        <f t="shared" si="5"/>
        <v/>
      </c>
      <c r="I36" s="23"/>
      <c r="J36" s="23"/>
      <c r="K36" s="23"/>
      <c r="L36" s="23"/>
      <c r="M36" s="23"/>
    </row>
    <row r="37" spans="2:13" x14ac:dyDescent="0.25">
      <c r="B37" s="46" t="str">
        <f t="shared" si="4"/>
        <v/>
      </c>
      <c r="C37" s="23"/>
      <c r="D37" s="23"/>
      <c r="E37" s="23"/>
      <c r="F37" s="23"/>
      <c r="G37" s="23"/>
      <c r="H37" s="46" t="str">
        <f t="shared" si="5"/>
        <v/>
      </c>
      <c r="I37" s="23"/>
      <c r="J37" s="23"/>
      <c r="K37" s="23"/>
      <c r="L37" s="23"/>
      <c r="M37" s="23"/>
    </row>
    <row r="38" spans="2:13" x14ac:dyDescent="0.25">
      <c r="B38" s="46" t="str">
        <f t="shared" si="4"/>
        <v/>
      </c>
      <c r="C38" s="23"/>
      <c r="D38" s="23"/>
      <c r="E38" s="23"/>
      <c r="F38" s="23"/>
      <c r="G38" s="23"/>
      <c r="H38" s="46" t="str">
        <f t="shared" si="5"/>
        <v/>
      </c>
      <c r="I38" s="23"/>
      <c r="J38" s="23"/>
      <c r="K38" s="23"/>
      <c r="L38" s="23"/>
      <c r="M38" s="23"/>
    </row>
    <row r="39" spans="2:13" x14ac:dyDescent="0.25">
      <c r="B39" s="46" t="str">
        <f t="shared" si="4"/>
        <v/>
      </c>
      <c r="C39" s="23"/>
      <c r="D39" s="23"/>
      <c r="E39" s="23"/>
      <c r="F39" s="23"/>
      <c r="G39" s="23"/>
      <c r="H39" s="46" t="str">
        <f t="shared" si="5"/>
        <v/>
      </c>
      <c r="I39" s="23"/>
      <c r="J39" s="23"/>
      <c r="K39" s="23"/>
      <c r="L39" s="23"/>
      <c r="M39" s="23"/>
    </row>
    <row r="41" spans="2:13" x14ac:dyDescent="0.25">
      <c r="B41" s="46" t="str">
        <f>B6&amp;D44&amp;C1</f>
        <v>&lt;button class='btn' id='projtemplatesbase_submit' &gt;submit&lt;/button&gt;</v>
      </c>
      <c r="C41" s="23"/>
      <c r="D41" s="23"/>
      <c r="E41" s="23"/>
      <c r="F41" s="23"/>
    </row>
    <row r="43" spans="2:13" x14ac:dyDescent="0.25">
      <c r="B43" s="10" t="s">
        <v>175</v>
      </c>
    </row>
    <row r="44" spans="2:13" x14ac:dyDescent="0.25">
      <c r="B44" s="10" t="s">
        <v>156</v>
      </c>
      <c r="D44" s="10" t="str">
        <f>'AutoLaravel v1'!D37&amp;'AutoLaravel v1'!D38</f>
        <v>projtemplatesbase</v>
      </c>
      <c r="E44" s="12" t="str">
        <f>UPPER(LEFT(D44,1))&amp;RIGHT(D44,LEN(D44)-1)</f>
        <v>Projtemplatesbase</v>
      </c>
    </row>
    <row r="45" spans="2:13" x14ac:dyDescent="0.25">
      <c r="B45" s="10" t="s">
        <v>273</v>
      </c>
      <c r="D45" s="10" t="str">
        <f>'AutoLaravel v1'!D37</f>
        <v>projtemplates</v>
      </c>
      <c r="E45" s="12"/>
    </row>
    <row r="46" spans="2:13" x14ac:dyDescent="0.25">
      <c r="B46" s="10" t="s">
        <v>188</v>
      </c>
      <c r="D46" s="10" t="str">
        <f>'AutoLaravel v1'!D37</f>
        <v>projtemplates</v>
      </c>
      <c r="E46" s="12" t="str">
        <f>UPPER(LEFT(D46,1))&amp;RIGHT(D46,LEN(D46)-1)</f>
        <v>Projtemplates</v>
      </c>
    </row>
    <row r="47" spans="2:13" x14ac:dyDescent="0.25">
      <c r="B47" s="10" t="s">
        <v>182</v>
      </c>
      <c r="D47" s="10" t="str">
        <f>D44&amp;"_submit"</f>
        <v>projtemplatesbase_submit</v>
      </c>
    </row>
    <row r="48" spans="2:13" x14ac:dyDescent="0.25">
      <c r="B48" s="10" t="s">
        <v>152</v>
      </c>
      <c r="D48" s="23" t="str">
        <f>D45&amp;"/"&amp;D44</f>
        <v>projtemplates/projtemplatesbase</v>
      </c>
    </row>
    <row r="49" spans="2:6" x14ac:dyDescent="0.25">
      <c r="B49" s="10" t="s">
        <v>176</v>
      </c>
    </row>
    <row r="50" spans="2:6" x14ac:dyDescent="0.25">
      <c r="B50" s="16" t="str">
        <f>$A$5&amp;D47&amp;A6</f>
        <v>$('#projtemplatesbase_submit').click(function() {</v>
      </c>
    </row>
    <row r="51" spans="2:6" x14ac:dyDescent="0.25">
      <c r="B51" s="46" t="s">
        <v>264</v>
      </c>
      <c r="C51" s="23"/>
      <c r="D51" s="23"/>
      <c r="E51" s="23"/>
      <c r="F51" s="23"/>
    </row>
    <row r="52" spans="2:6" x14ac:dyDescent="0.25">
      <c r="B52" s="46" t="str">
        <f>IF(B17="","",$A$2&amp;B17&amp;$A$3&amp;C17&amp;$A$4)&amp;IF(B18="","",$A$2&amp;B18&amp;$A$3&amp;C18&amp;$A$4)</f>
        <v>var pagename=$('#pages_pagename').val();var pagedescription=$('#pages_pagedescription').val();</v>
      </c>
      <c r="C52" s="23"/>
      <c r="D52" s="23"/>
      <c r="E52" s="23"/>
      <c r="F52" s="23"/>
    </row>
    <row r="53" spans="2:6" x14ac:dyDescent="0.25">
      <c r="B53" s="46" t="str">
        <f>IF(B19="","",$A$2&amp;B19&amp;$A$3&amp;C19&amp;$A$4)&amp;IF(B20="","",$A$2&amp;B20&amp;$A$3&amp;C20&amp;$A$4)</f>
        <v/>
      </c>
      <c r="C53" s="23"/>
      <c r="D53" s="23"/>
      <c r="E53" s="23"/>
      <c r="F53" s="23"/>
    </row>
    <row r="54" spans="2:6" x14ac:dyDescent="0.25">
      <c r="B54" s="46" t="str">
        <f>IF(B21="","",$A$2&amp;B21&amp;$A$3&amp;C21&amp;$A$4)&amp;IF(B22="","",$A$2&amp;B22&amp;$A$3&amp;C22&amp;$A$4)</f>
        <v/>
      </c>
      <c r="C54" s="23"/>
      <c r="D54" s="23"/>
      <c r="E54" s="23"/>
      <c r="F54" s="23"/>
    </row>
    <row r="55" spans="2:6" x14ac:dyDescent="0.25">
      <c r="B55" s="46" t="str">
        <f>IF(B23="","",$A$2&amp;B23&amp;$A$3&amp;C23&amp;$A$4)&amp;IF(B24="","",$A$2&amp;B24&amp;$A$3&amp;C24&amp;$A$4)</f>
        <v/>
      </c>
      <c r="C55" s="23"/>
      <c r="D55" s="23"/>
      <c r="E55" s="23"/>
      <c r="F55" s="23"/>
    </row>
    <row r="56" spans="2:6" x14ac:dyDescent="0.25">
      <c r="B56" s="46" t="str">
        <f>IF(B25="","",$A$2&amp;B25&amp;$A$3&amp;C25&amp;$A$4)&amp;IF(B26="","",$A$2&amp;B26&amp;$A$3&amp;C26&amp;$A$4)</f>
        <v/>
      </c>
      <c r="C56" s="23"/>
      <c r="D56" s="23"/>
      <c r="E56" s="23"/>
      <c r="F56" s="23"/>
    </row>
    <row r="57" spans="2:6" x14ac:dyDescent="0.25">
      <c r="B57" s="47" t="str">
        <f>IF(H17="","",$A$2&amp;H17&amp;$A$3&amp;H17&amp;$A$4)&amp;IF(H18="","",$A$2&amp;H18&amp;$A$3&amp;H18&amp;$A$4)</f>
        <v/>
      </c>
      <c r="C57" s="23"/>
      <c r="D57" s="23"/>
      <c r="E57" s="23"/>
      <c r="F57" s="23"/>
    </row>
    <row r="58" spans="2:6" x14ac:dyDescent="0.25">
      <c r="B58" s="47" t="str">
        <f>IF(H19="","",$A$2&amp;H19&amp;$A$3&amp;H19&amp;$A$4)&amp;IF(H20="","",$A$2&amp;H20&amp;$A$3&amp;H20&amp;$A$4)</f>
        <v/>
      </c>
      <c r="C58" s="23"/>
      <c r="D58" s="23"/>
      <c r="E58" s="23"/>
      <c r="F58" s="23"/>
    </row>
    <row r="59" spans="2:6" x14ac:dyDescent="0.25">
      <c r="B59" s="47" t="str">
        <f>IF(H21="","",$A$2&amp;H21&amp;$A$3&amp;H21&amp;$A$4)&amp;IF(H22="","",$A$2&amp;H22&amp;$A$3&amp;H22&amp;$A$4)</f>
        <v/>
      </c>
      <c r="C59" s="23"/>
      <c r="D59" s="23"/>
      <c r="E59" s="23"/>
      <c r="F59" s="23"/>
    </row>
    <row r="60" spans="2:6" x14ac:dyDescent="0.25">
      <c r="B60" s="47" t="str">
        <f>IF(H23="","",$A$2&amp;H23&amp;$A$3&amp;H23&amp;$A$4)&amp;IF(H24="","",$A$2&amp;H24&amp;$A$3&amp;H24&amp;$A$4)</f>
        <v/>
      </c>
      <c r="C60" s="23"/>
      <c r="D60" s="23"/>
      <c r="E60" s="23"/>
      <c r="F60" s="23"/>
    </row>
    <row r="61" spans="2:6" x14ac:dyDescent="0.25">
      <c r="B61" s="47" t="str">
        <f>IF(H25="","",$A$2&amp;H25&amp;$A$3&amp;H25&amp;$A$4)&amp;IF(H26="","",$A$2&amp;H26&amp;$A$3&amp;H26&amp;$A$4)</f>
        <v/>
      </c>
      <c r="C61" s="23"/>
      <c r="D61" s="23"/>
      <c r="E61" s="23"/>
      <c r="F61" s="23"/>
    </row>
    <row r="62" spans="2:6" x14ac:dyDescent="0.25">
      <c r="B62" s="16" t="s">
        <v>348</v>
      </c>
    </row>
    <row r="63" spans="2:6" x14ac:dyDescent="0.25">
      <c r="B63" s="47" t="str">
        <f>"    "&amp;N17&amp;IF(B17&lt;&gt;"",":","")&amp;B17&amp;N18&amp;IF(B18&lt;&gt;"",":","")&amp;B18&amp;N19&amp;IF(B19&lt;&gt;"",":","")&amp;B19&amp;N20&amp;IF(B20&lt;&gt;"",":","")&amp;B20</f>
        <v xml:space="preserve">    pagename:pagename,pagedescription:pagedescription</v>
      </c>
    </row>
    <row r="64" spans="2:6" x14ac:dyDescent="0.25">
      <c r="B64" s="47" t="str">
        <f>N21&amp;IF(B21&lt;&gt;"",":","")&amp;B21&amp;N22&amp;IF(B22&lt;&gt;"",":","")&amp;B22&amp;N23&amp;IF(B23&lt;&gt;"",":","")&amp;B23&amp;N24&amp;IF(B24&lt;&gt;"",":","")&amp;B24</f>
        <v/>
      </c>
    </row>
    <row r="65" spans="2:4" x14ac:dyDescent="0.25">
      <c r="B65" s="47" t="str">
        <f t="shared" ref="B65" si="6">N25&amp;IF(B25&lt;&gt;"",":","")&amp;B25&amp;N26&amp;IF(B26&lt;&gt;"",":","")&amp;B26</f>
        <v/>
      </c>
    </row>
    <row r="66" spans="2:4" x14ac:dyDescent="0.25">
      <c r="B66" s="46" t="str">
        <f>O17&amp;IF(H17&lt;&gt;"",":","")&amp;H17&amp;O18&amp;IF(H18&lt;&gt;"",":","")&amp;H18&amp;O19&amp;IF(H19&lt;&gt;"",":","")&amp;H19&amp;O20&amp;IF(H20&lt;&gt;"",":","")&amp;H20</f>
        <v/>
      </c>
    </row>
    <row r="67" spans="2:4" x14ac:dyDescent="0.25">
      <c r="B67" s="46" t="str">
        <f>O21&amp;IF(H21&lt;&gt;"",":","")&amp;H21&amp;O22&amp;IF(H22&lt;&gt;"",":","")&amp;H22&amp;O23&amp;IF(H23&lt;&gt;"",":","")&amp;H23&amp;O24&amp;IF(H24&lt;&gt;"",":","")&amp;H24</f>
        <v/>
      </c>
    </row>
    <row r="68" spans="2:4" x14ac:dyDescent="0.25">
      <c r="B68" s="46" t="str">
        <f t="shared" ref="B68" si="7">O25&amp;IF(H25&lt;&gt;"",":","")&amp;H25&amp;O26&amp;IF(H26&lt;&gt;"",":","")&amp;H26</f>
        <v/>
      </c>
    </row>
    <row r="69" spans="2:4" x14ac:dyDescent="0.25">
      <c r="B69" s="16" t="s">
        <v>349</v>
      </c>
    </row>
    <row r="70" spans="2:4" x14ac:dyDescent="0.25">
      <c r="B70" s="16"/>
    </row>
    <row r="71" spans="2:4" x14ac:dyDescent="0.25">
      <c r="B71" s="16" t="str">
        <f>"    "&amp;B1&amp;D48&amp;B2</f>
        <v xml:space="preserve">    var route=base+'/projtemplates/projtemplatesbase';</v>
      </c>
    </row>
    <row r="72" spans="2:4" x14ac:dyDescent="0.25">
      <c r="B72" s="16" t="s">
        <v>409</v>
      </c>
    </row>
    <row r="73" spans="2:4" x14ac:dyDescent="0.25">
      <c r="B73" s="46" t="str">
        <f>"         "&amp;IF('AutoLaravel v1'!C70&lt;&gt;"",$A$5&amp;'AutoLaravel v1'!D68&amp;"_"&amp;'AutoLaravel v1'!C70&amp;$C$3,"")&amp;IF('AutoLaravel v1'!C71&lt;&gt;"",$A$5&amp;'AutoLaravel v1'!D68&amp;"_"&amp;'AutoLaravel v1'!C71&amp;$C$3,"")&amp;IF('AutoLaravel v1'!C72&lt;&gt;"",$A$5&amp;'AutoLaravel v1'!D68&amp;"_"&amp;'AutoLaravel v1'!C72&amp;$C$3,"")&amp;IF('AutoLaravel v1'!C73&lt;&gt;"",$A$5&amp;'AutoLaravel v1'!D68&amp;"_"&amp;'AutoLaravel v1'!C73&amp;$C$3,"")</f>
        <v xml:space="preserve">         $('#pages_pagename').val('');$('#pages_pagedescription').val('');</v>
      </c>
    </row>
    <row r="74" spans="2:4" x14ac:dyDescent="0.25">
      <c r="B74" s="46" t="str">
        <f>"         "&amp;IF('AutoLaravel v1'!C74&lt;&gt;"",$A$5&amp;'AutoLaravel v1'!D68&amp;"_"&amp;'AutoLaravel v1'!C74&amp;$C$3,"")&amp;IF('AutoLaravel v1'!C75&lt;&gt;"",$A$5&amp;'AutoLaravel v1'!D68&amp;"_"&amp;'AutoLaravel v1'!C75&amp;$C$3,"")&amp;IF('AutoLaravel v1'!C76&lt;&gt;"",$A$5&amp;'AutoLaravel v1'!D68&amp;"_"&amp;'AutoLaravel v1'!C76&amp;$C$3,"")&amp;IF('AutoLaravel v1'!C77&lt;&gt;"",$A$5&amp;'AutoLaravel v1'!D68&amp;"_"&amp;'AutoLaravel v1'!C77&amp;$C$3,"")</f>
        <v xml:space="preserve">         </v>
      </c>
    </row>
    <row r="75" spans="2:4" x14ac:dyDescent="0.25">
      <c r="B75" s="46" t="str">
        <f>"         "&amp;IF('AutoLaravel v1'!C78&lt;&gt;"",$A$5&amp;'AutoLaravel v1'!D68&amp;"_"&amp;'AutoLaravel v1'!C78&amp;$C$3,"")&amp;IF('AutoLaravel v1'!C79&lt;&gt;"",$A$5&amp;'AutoLaravel v1'!D68&amp;"_"&amp;'AutoLaravel v1'!C79&amp;$C$3,"")</f>
        <v xml:space="preserve">         </v>
      </c>
    </row>
    <row r="76" spans="2:4" x14ac:dyDescent="0.25">
      <c r="B76" s="59" t="str">
        <f>"         "&amp;IF('AutoLaravel v1'!G70&lt;&gt;"",$A$5&amp;'AutoLaravel v1'!D68&amp;"_"&amp;'AutoLaravel v1'!G70&amp;$C$3,"")&amp;IF('AutoLaravel v1'!G71&lt;&gt;"",$A$5&amp;'AutoLaravel v1'!D68&amp;"_"&amp;'AutoLaravel v1'!G71&amp;$C$3,"")&amp;IF('AutoLaravel v1'!G72&lt;&gt;"",$A$5&amp;'AutoLaravel v1'!D68&amp;"_"&amp;'AutoLaravel v1'!G72&amp;$C$3,"")&amp;IF('AutoLaravel v1'!G73&lt;&gt;"",$A$5&amp;'AutoLaravel v1'!D68&amp;"_"&amp;'AutoLaravel v1'!G73&amp;$C$3,"")</f>
        <v xml:space="preserve">         </v>
      </c>
      <c r="C76" s="56" t="s">
        <v>412</v>
      </c>
      <c r="D76" s="57"/>
    </row>
    <row r="77" spans="2:4" x14ac:dyDescent="0.25">
      <c r="B77" s="58" t="str">
        <f>"         "&amp;IF('AutoLaravel v1'!G74&lt;&gt;"",$A$5&amp;'AutoLaravel v1'!D68&amp;"_"&amp;'AutoLaravel v1'!G74&amp;$C$3,"")&amp;IF('AutoLaravel v1'!G75&lt;&gt;"",$A$5&amp;'AutoLaravel v1'!D68&amp;"_"&amp;'AutoLaravel v1'!G75&amp;$C$3,"")&amp;IF('AutoLaravel v1'!G76&lt;&gt;"",$A$5&amp;'AutoLaravel v1'!D68&amp;"_"&amp;'AutoLaravel v1'!G76&amp;$C$3,"")&amp;IF('AutoLaravel v1'!G77&lt;&gt;"",$A$5&amp;'AutoLaravel v1'!D68&amp;"_"&amp;'AutoLaravel v1'!G77&amp;$C$3,"")</f>
        <v xml:space="preserve">         </v>
      </c>
    </row>
    <row r="78" spans="2:4" x14ac:dyDescent="0.25">
      <c r="B78" s="58" t="str">
        <f>"         "&amp;IF('AutoLaravel v1'!G78&lt;&gt;"",$A$5&amp;'AutoLaravel v1'!D68&amp;"_"&amp;'AutoLaravel v1'!G78&amp;$C$3,"")&amp;IF('AutoLaravel v1'!G79&lt;&gt;"",$A$5&amp;'AutoLaravel v1'!D68&amp;"_"&amp;'AutoLaravel v1'!G79&amp;$C$3,"")</f>
        <v xml:space="preserve">         </v>
      </c>
    </row>
    <row r="79" spans="2:4" x14ac:dyDescent="0.25">
      <c r="B79" s="16" t="s">
        <v>410</v>
      </c>
    </row>
    <row r="80" spans="2:4" x14ac:dyDescent="0.25">
      <c r="B80" s="16" t="s">
        <v>136</v>
      </c>
    </row>
    <row r="83" spans="2:12" x14ac:dyDescent="0.25">
      <c r="B83" s="10" t="s">
        <v>106</v>
      </c>
      <c r="D83" s="23" t="str">
        <f>E46&amp;"Controller"</f>
        <v>ProjtemplatesController</v>
      </c>
      <c r="E83" s="23"/>
      <c r="F83" s="23"/>
      <c r="G83" s="63" t="s">
        <v>274</v>
      </c>
      <c r="H83" s="12" t="str">
        <f>'AutoLaravel v1'!D68</f>
        <v>pages</v>
      </c>
      <c r="I83" s="63" t="s">
        <v>213</v>
      </c>
      <c r="J83" s="12" t="str">
        <f>'AutoLaravel v1'!G68</f>
        <v>Page</v>
      </c>
      <c r="K83" s="63" t="s">
        <v>275</v>
      </c>
      <c r="L83" s="12" t="str">
        <f>"$"&amp;'AutoLaravel v1'!F68</f>
        <v>$page</v>
      </c>
    </row>
    <row r="84" spans="2:12" x14ac:dyDescent="0.25">
      <c r="B84" s="10" t="s">
        <v>189</v>
      </c>
      <c r="D84" s="48" t="str">
        <f>"public function post"&amp;E44&amp;"() {"</f>
        <v>public function postProjtemplatesbase() {</v>
      </c>
      <c r="E84" s="23"/>
      <c r="F84" s="23"/>
    </row>
    <row r="85" spans="2:12" x14ac:dyDescent="0.25">
      <c r="D85" s="48" t="str">
        <f t="shared" ref="D85:D89" si="8">IF(C17&lt;&gt;"","$"&amp;B17&amp;"=$_POST['"&amp;B17&amp;"'];","")</f>
        <v>$pagename=$_POST['pagename'];</v>
      </c>
      <c r="E85" s="23"/>
      <c r="F85" s="23"/>
    </row>
    <row r="86" spans="2:12" x14ac:dyDescent="0.25">
      <c r="D86" s="48" t="str">
        <f t="shared" si="8"/>
        <v>$pagedescription=$_POST['pagedescription'];</v>
      </c>
      <c r="E86" s="23"/>
      <c r="F86" s="23"/>
    </row>
    <row r="87" spans="2:12" x14ac:dyDescent="0.25">
      <c r="D87" s="48" t="str">
        <f t="shared" si="8"/>
        <v/>
      </c>
      <c r="E87" s="23"/>
      <c r="F87" s="23"/>
    </row>
    <row r="88" spans="2:12" x14ac:dyDescent="0.25">
      <c r="D88" s="48" t="str">
        <f t="shared" si="8"/>
        <v/>
      </c>
      <c r="E88" s="23"/>
      <c r="F88" s="23"/>
    </row>
    <row r="89" spans="2:12" x14ac:dyDescent="0.25">
      <c r="D89" s="48" t="str">
        <f t="shared" si="8"/>
        <v/>
      </c>
      <c r="E89" s="23"/>
      <c r="F89" s="23"/>
    </row>
    <row r="90" spans="2:12" x14ac:dyDescent="0.25">
      <c r="D90" s="48" t="str">
        <f>IF(C22&lt;&gt;"","$"&amp;B22&amp;"=$_POST['"&amp;B22&amp;"'];","")</f>
        <v/>
      </c>
      <c r="E90" s="23"/>
      <c r="F90" s="23"/>
    </row>
    <row r="91" spans="2:12" x14ac:dyDescent="0.25">
      <c r="D91" s="48" t="str">
        <f t="shared" ref="D91:D94" si="9">IF(C23&lt;&gt;"","$"&amp;B23&amp;"=$_POST['"&amp;B23&amp;"'];","")</f>
        <v/>
      </c>
      <c r="E91" s="23"/>
      <c r="F91" s="23"/>
    </row>
    <row r="92" spans="2:12" x14ac:dyDescent="0.25">
      <c r="D92" s="48" t="str">
        <f t="shared" si="9"/>
        <v/>
      </c>
      <c r="E92" s="23"/>
      <c r="F92" s="23"/>
    </row>
    <row r="93" spans="2:12" x14ac:dyDescent="0.25">
      <c r="D93" s="48" t="str">
        <f t="shared" si="9"/>
        <v/>
      </c>
      <c r="E93" s="23"/>
      <c r="F93" s="23"/>
    </row>
    <row r="94" spans="2:12" x14ac:dyDescent="0.25">
      <c r="D94" s="48" t="str">
        <f t="shared" si="9"/>
        <v/>
      </c>
      <c r="E94" s="23"/>
      <c r="F94" s="23"/>
    </row>
    <row r="95" spans="2:12" x14ac:dyDescent="0.25">
      <c r="D95" s="48" t="s">
        <v>270</v>
      </c>
      <c r="E95" s="23"/>
      <c r="F95" s="23"/>
    </row>
    <row r="96" spans="2:12" x14ac:dyDescent="0.25">
      <c r="D96" s="48" t="str">
        <f>L83&amp;"=New "&amp;J83&amp;";"</f>
        <v>$page=New Page;</v>
      </c>
      <c r="E96" s="23"/>
      <c r="F96" s="23"/>
    </row>
    <row r="97" spans="4:9" x14ac:dyDescent="0.25">
      <c r="D97" s="48" t="s">
        <v>430</v>
      </c>
      <c r="E97" s="23"/>
      <c r="F97" s="23"/>
      <c r="G97" s="48" t="s">
        <v>431</v>
      </c>
      <c r="H97" s="23"/>
      <c r="I97" s="23"/>
    </row>
    <row r="98" spans="4:9" x14ac:dyDescent="0.25">
      <c r="D98" s="46" t="str">
        <f t="shared" ref="D98:D107" si="10">IF(B17&lt;&gt;"",$L$83&amp;$C$2&amp;B17&amp;"=$"&amp;B17&amp;";","")</f>
        <v>$page-&gt;pagename=$pagename;</v>
      </c>
      <c r="E98" s="23"/>
      <c r="F98" s="23"/>
      <c r="G98" s="46" t="str">
        <f t="shared" ref="G98:G107" si="11">IF(H17&lt;&gt;"",$L$83&amp;$C$2&amp;H17&amp;"=$"&amp;H17&amp;";","")</f>
        <v/>
      </c>
      <c r="H98" s="23"/>
      <c r="I98" s="23"/>
    </row>
    <row r="99" spans="4:9" x14ac:dyDescent="0.25">
      <c r="D99" s="46" t="str">
        <f t="shared" si="10"/>
        <v>$page-&gt;pagedescription=$pagedescription;</v>
      </c>
      <c r="E99" s="23"/>
      <c r="F99" s="23"/>
      <c r="G99" s="46" t="str">
        <f t="shared" si="11"/>
        <v/>
      </c>
      <c r="H99" s="23"/>
      <c r="I99" s="23"/>
    </row>
    <row r="100" spans="4:9" x14ac:dyDescent="0.25">
      <c r="D100" s="46" t="str">
        <f t="shared" si="10"/>
        <v/>
      </c>
      <c r="E100" s="23"/>
      <c r="F100" s="23"/>
      <c r="G100" s="46" t="str">
        <f t="shared" si="11"/>
        <v/>
      </c>
      <c r="H100" s="23"/>
      <c r="I100" s="23"/>
    </row>
    <row r="101" spans="4:9" x14ac:dyDescent="0.25">
      <c r="D101" s="46" t="str">
        <f t="shared" si="10"/>
        <v/>
      </c>
      <c r="E101" s="23"/>
      <c r="F101" s="23"/>
      <c r="G101" s="46" t="str">
        <f t="shared" si="11"/>
        <v/>
      </c>
      <c r="H101" s="23"/>
      <c r="I101" s="23"/>
    </row>
    <row r="102" spans="4:9" x14ac:dyDescent="0.25">
      <c r="D102" s="46" t="str">
        <f t="shared" si="10"/>
        <v/>
      </c>
      <c r="E102" s="23"/>
      <c r="F102" s="23"/>
      <c r="G102" s="46" t="str">
        <f t="shared" si="11"/>
        <v/>
      </c>
      <c r="H102" s="23"/>
      <c r="I102" s="23"/>
    </row>
    <row r="103" spans="4:9" x14ac:dyDescent="0.25">
      <c r="D103" s="46" t="str">
        <f t="shared" si="10"/>
        <v/>
      </c>
      <c r="E103" s="23"/>
      <c r="F103" s="23"/>
      <c r="G103" s="46" t="str">
        <f t="shared" si="11"/>
        <v/>
      </c>
      <c r="H103" s="23"/>
      <c r="I103" s="23"/>
    </row>
    <row r="104" spans="4:9" x14ac:dyDescent="0.25">
      <c r="D104" s="46" t="str">
        <f t="shared" si="10"/>
        <v/>
      </c>
      <c r="E104" s="23"/>
      <c r="F104" s="23"/>
      <c r="G104" s="46" t="str">
        <f t="shared" si="11"/>
        <v/>
      </c>
      <c r="H104" s="23"/>
      <c r="I104" s="23"/>
    </row>
    <row r="105" spans="4:9" x14ac:dyDescent="0.25">
      <c r="D105" s="46" t="str">
        <f t="shared" si="10"/>
        <v/>
      </c>
      <c r="E105" s="23"/>
      <c r="F105" s="23"/>
      <c r="G105" s="46" t="str">
        <f t="shared" si="11"/>
        <v/>
      </c>
      <c r="H105" s="23"/>
      <c r="I105" s="23"/>
    </row>
    <row r="106" spans="4:9" x14ac:dyDescent="0.25">
      <c r="D106" s="46" t="str">
        <f t="shared" si="10"/>
        <v/>
      </c>
      <c r="E106" s="23"/>
      <c r="F106" s="23"/>
      <c r="G106" s="46" t="str">
        <f t="shared" si="11"/>
        <v/>
      </c>
      <c r="H106" s="23"/>
      <c r="I106" s="23"/>
    </row>
    <row r="107" spans="4:9" x14ac:dyDescent="0.25">
      <c r="D107" s="46" t="str">
        <f t="shared" si="10"/>
        <v/>
      </c>
      <c r="E107" s="23"/>
      <c r="F107" s="23"/>
      <c r="G107" s="46" t="str">
        <f t="shared" si="11"/>
        <v/>
      </c>
      <c r="H107" s="23"/>
      <c r="I107" s="23"/>
    </row>
    <row r="110" spans="4:9" x14ac:dyDescent="0.25">
      <c r="D110" s="48" t="str">
        <f>L83&amp;C2&amp;"save();"</f>
        <v>$page-&gt;save();</v>
      </c>
      <c r="E110" s="23"/>
      <c r="F110" s="23"/>
    </row>
    <row r="111" spans="4:9" x14ac:dyDescent="0.25">
      <c r="D111" s="48" t="s">
        <v>277</v>
      </c>
      <c r="E111" s="23"/>
      <c r="F111" s="23"/>
    </row>
    <row r="112" spans="4:9" x14ac:dyDescent="0.25">
      <c r="D112" s="48" t="s">
        <v>39</v>
      </c>
      <c r="E112" s="23"/>
      <c r="F112" s="2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9"/>
  <sheetViews>
    <sheetView topLeftCell="A6" workbookViewId="0">
      <selection activeCell="H25" sqref="H25"/>
    </sheetView>
  </sheetViews>
  <sheetFormatPr baseColWidth="10" defaultRowHeight="15" x14ac:dyDescent="0.25"/>
  <cols>
    <col min="1" max="16384" width="11.42578125" style="10"/>
  </cols>
  <sheetData>
    <row r="4" spans="2:4" x14ac:dyDescent="0.25">
      <c r="B4" s="10" t="s">
        <v>517</v>
      </c>
    </row>
    <row r="6" spans="2:4" x14ac:dyDescent="0.25">
      <c r="B6" s="10" t="s">
        <v>518</v>
      </c>
    </row>
    <row r="8" spans="2:4" x14ac:dyDescent="0.25">
      <c r="B8" s="10" t="s">
        <v>519</v>
      </c>
    </row>
    <row r="9" spans="2:4" x14ac:dyDescent="0.25">
      <c r="B9" s="10" t="s">
        <v>520</v>
      </c>
    </row>
    <row r="11" spans="2:4" x14ac:dyDescent="0.25">
      <c r="B11" s="10" t="s">
        <v>521</v>
      </c>
    </row>
    <row r="12" spans="2:4" x14ac:dyDescent="0.25">
      <c r="B12" s="10" t="s">
        <v>522</v>
      </c>
    </row>
    <row r="13" spans="2:4" x14ac:dyDescent="0.25">
      <c r="C13" s="10" t="s">
        <v>531</v>
      </c>
    </row>
    <row r="14" spans="2:4" x14ac:dyDescent="0.25">
      <c r="C14" s="10" t="s">
        <v>523</v>
      </c>
      <c r="D14" s="10" t="s">
        <v>527</v>
      </c>
    </row>
    <row r="15" spans="2:4" x14ac:dyDescent="0.25">
      <c r="C15" s="10" t="s">
        <v>524</v>
      </c>
      <c r="D15" s="10" t="s">
        <v>528</v>
      </c>
    </row>
    <row r="16" spans="2:4" x14ac:dyDescent="0.25">
      <c r="C16" s="10" t="s">
        <v>525</v>
      </c>
      <c r="D16" s="10" t="s">
        <v>529</v>
      </c>
    </row>
    <row r="17" spans="3:4" x14ac:dyDescent="0.25">
      <c r="C17" s="10" t="s">
        <v>526</v>
      </c>
      <c r="D17" s="10" t="s">
        <v>530</v>
      </c>
    </row>
    <row r="19" spans="3:4" x14ac:dyDescent="0.25">
      <c r="C19" s="10" t="s">
        <v>532</v>
      </c>
    </row>
    <row r="20" spans="3:4" x14ac:dyDescent="0.25">
      <c r="C20" s="10" t="s">
        <v>523</v>
      </c>
      <c r="D20" s="10" t="s">
        <v>536</v>
      </c>
    </row>
    <row r="21" spans="3:4" x14ac:dyDescent="0.25">
      <c r="C21" s="10" t="s">
        <v>524</v>
      </c>
      <c r="D21" s="10" t="s">
        <v>533</v>
      </c>
    </row>
    <row r="22" spans="3:4" x14ac:dyDescent="0.25">
      <c r="C22" s="10" t="s">
        <v>525</v>
      </c>
      <c r="D22" s="10" t="s">
        <v>535</v>
      </c>
    </row>
    <row r="23" spans="3:4" x14ac:dyDescent="0.25">
      <c r="C23" s="10" t="s">
        <v>526</v>
      </c>
      <c r="D23" s="10" t="s">
        <v>534</v>
      </c>
    </row>
    <row r="25" spans="3:4" x14ac:dyDescent="0.25">
      <c r="C25" s="10" t="s">
        <v>537</v>
      </c>
    </row>
    <row r="26" spans="3:4" x14ac:dyDescent="0.25">
      <c r="C26" s="10" t="s">
        <v>523</v>
      </c>
      <c r="D26" s="10" t="s">
        <v>538</v>
      </c>
    </row>
    <row r="27" spans="3:4" x14ac:dyDescent="0.25">
      <c r="C27" s="10" t="s">
        <v>524</v>
      </c>
      <c r="D27" s="10" t="s">
        <v>539</v>
      </c>
    </row>
    <row r="28" spans="3:4" x14ac:dyDescent="0.25">
      <c r="C28" s="10" t="s">
        <v>525</v>
      </c>
      <c r="D28" s="10" t="s">
        <v>540</v>
      </c>
    </row>
    <row r="29" spans="3:4" x14ac:dyDescent="0.25">
      <c r="C29" s="10" t="s">
        <v>526</v>
      </c>
      <c r="D29" s="10" t="s">
        <v>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6" workbookViewId="0">
      <selection activeCell="D37" sqref="D37"/>
    </sheetView>
  </sheetViews>
  <sheetFormatPr baseColWidth="10" defaultRowHeight="15" x14ac:dyDescent="0.25"/>
  <cols>
    <col min="1" max="16384" width="11.42578125" style="10"/>
  </cols>
  <sheetData>
    <row r="1" spans="1:11" s="39" customFormat="1" hidden="1" x14ac:dyDescent="0.25">
      <c r="A1" s="39" t="s">
        <v>543</v>
      </c>
    </row>
    <row r="2" spans="1:11" s="39" customFormat="1" hidden="1" x14ac:dyDescent="0.25">
      <c r="A2" s="40" t="s">
        <v>547</v>
      </c>
    </row>
    <row r="3" spans="1:11" s="39" customFormat="1" hidden="1" x14ac:dyDescent="0.25">
      <c r="A3" s="40" t="s">
        <v>100</v>
      </c>
    </row>
    <row r="4" spans="1:11" s="39" customFormat="1" hidden="1" x14ac:dyDescent="0.25">
      <c r="A4" s="40"/>
    </row>
    <row r="5" spans="1:11" s="39" customFormat="1" hidden="1" x14ac:dyDescent="0.25">
      <c r="A5" s="40"/>
    </row>
    <row r="7" spans="1:11" x14ac:dyDescent="0.25">
      <c r="B7" s="73" t="s">
        <v>566</v>
      </c>
    </row>
    <row r="8" spans="1:11" x14ac:dyDescent="0.25">
      <c r="B8" s="10" t="s">
        <v>544</v>
      </c>
    </row>
    <row r="9" spans="1:11" x14ac:dyDescent="0.25">
      <c r="B9" s="10" t="s">
        <v>545</v>
      </c>
      <c r="E9" s="74" t="str">
        <f>'AutoLaravel v1'!D37</f>
        <v>projtemplates</v>
      </c>
    </row>
    <row r="10" spans="1:11" x14ac:dyDescent="0.25">
      <c r="B10" s="10" t="s">
        <v>546</v>
      </c>
      <c r="E10" s="43" t="s">
        <v>586</v>
      </c>
    </row>
    <row r="11" spans="1:11" x14ac:dyDescent="0.25">
      <c r="B11" s="18" t="s">
        <v>114</v>
      </c>
      <c r="C11" s="17" t="str">
        <f>"php artisan generate:view --path="&amp;A3&amp;"app/views/"&amp;E9&amp;A3&amp;" "&amp;E10</f>
        <v>php artisan generate:view --path="app/views/projtemplates" team</v>
      </c>
      <c r="D11" s="17"/>
      <c r="E11" s="17"/>
      <c r="F11" s="17"/>
      <c r="G11" s="17"/>
      <c r="H11" s="12"/>
    </row>
    <row r="12" spans="1:11" x14ac:dyDescent="0.25">
      <c r="B12" s="10" t="s">
        <v>549</v>
      </c>
      <c r="E12" s="43" t="s">
        <v>584</v>
      </c>
      <c r="F12" s="43"/>
      <c r="G12" s="43"/>
    </row>
    <row r="13" spans="1:11" x14ac:dyDescent="0.25">
      <c r="B13" s="12" t="s">
        <v>542</v>
      </c>
      <c r="C13" s="12" t="str">
        <f>E10</f>
        <v>team</v>
      </c>
    </row>
    <row r="15" spans="1:11" x14ac:dyDescent="0.25">
      <c r="B15" s="46" t="str">
        <f>A1&amp;C13&amp;A2</f>
        <v>&lt;div id='team'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46" t="s">
        <v>552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1" x14ac:dyDescent="0.25">
      <c r="B17" s="46" t="s">
        <v>550</v>
      </c>
      <c r="C17" s="23"/>
      <c r="D17" s="23"/>
      <c r="E17" s="23"/>
      <c r="F17" s="23"/>
      <c r="G17" s="23"/>
      <c r="H17" s="23"/>
      <c r="I17" s="23"/>
      <c r="J17" s="23"/>
      <c r="K17" s="23"/>
    </row>
    <row r="18" spans="2:11" x14ac:dyDescent="0.25">
      <c r="B18" s="46" t="str">
        <f>"        &lt;h3 class='text-success'&gt;"&amp;E12&amp;"&lt;/h3&gt;"</f>
        <v xml:space="preserve">        &lt;h3 class='text-success'&gt;Prioritize this task&lt;/h3&gt;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1" x14ac:dyDescent="0.25">
      <c r="B19" s="46" t="s">
        <v>551</v>
      </c>
      <c r="C19" s="23"/>
      <c r="D19" s="23"/>
      <c r="E19" s="23"/>
      <c r="F19" s="23"/>
      <c r="G19" s="23"/>
      <c r="H19" s="23"/>
      <c r="I19" s="23"/>
      <c r="J19" s="23"/>
      <c r="K19" s="23"/>
    </row>
    <row r="20" spans="2:11" x14ac:dyDescent="0.25">
      <c r="B20" s="46" t="s">
        <v>553</v>
      </c>
      <c r="C20" s="23"/>
      <c r="D20" s="23"/>
      <c r="E20" s="23"/>
      <c r="F20" s="23"/>
      <c r="G20" s="23"/>
      <c r="H20" s="23"/>
      <c r="I20" s="23"/>
      <c r="J20" s="23"/>
      <c r="K20" s="23"/>
    </row>
    <row r="21" spans="2:11" x14ac:dyDescent="0.25">
      <c r="B21" s="46" t="s">
        <v>554</v>
      </c>
      <c r="C21" s="23"/>
      <c r="D21" s="23"/>
      <c r="E21" s="23"/>
      <c r="F21" s="23"/>
      <c r="G21" s="23"/>
      <c r="H21" s="23"/>
      <c r="I21" s="23"/>
      <c r="J21" s="23"/>
      <c r="K21" s="23"/>
    </row>
    <row r="22" spans="2:11" x14ac:dyDescent="0.25">
      <c r="B22" s="46" t="s">
        <v>555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1" x14ac:dyDescent="0.25">
      <c r="B23" s="46" t="s">
        <v>556</v>
      </c>
      <c r="C23" s="46"/>
      <c r="D23" s="46"/>
      <c r="E23" s="46"/>
      <c r="F23" s="46"/>
      <c r="G23" s="46"/>
      <c r="H23" s="46"/>
      <c r="I23" s="46"/>
      <c r="J23" s="46"/>
      <c r="K23" s="46"/>
    </row>
    <row r="24" spans="2:11" x14ac:dyDescent="0.25">
      <c r="B24" s="46" t="s">
        <v>557</v>
      </c>
      <c r="C24" s="46"/>
      <c r="D24" s="46"/>
      <c r="E24" s="46"/>
      <c r="F24" s="46"/>
      <c r="G24" s="46"/>
      <c r="H24" s="46"/>
      <c r="I24" s="46"/>
      <c r="J24" s="46"/>
      <c r="K24" s="46"/>
    </row>
    <row r="25" spans="2:11" x14ac:dyDescent="0.25">
      <c r="B25" s="46" t="s">
        <v>558</v>
      </c>
      <c r="C25" s="46"/>
      <c r="D25" s="46"/>
      <c r="E25" s="46"/>
      <c r="F25" s="46"/>
      <c r="G25" s="46"/>
      <c r="H25" s="46"/>
      <c r="I25" s="46"/>
      <c r="J25" s="46"/>
      <c r="K25" s="46"/>
    </row>
    <row r="26" spans="2:11" x14ac:dyDescent="0.25">
      <c r="B26" s="46" t="s">
        <v>559</v>
      </c>
      <c r="C26" s="46"/>
      <c r="D26" s="46"/>
      <c r="E26" s="46"/>
      <c r="F26" s="46"/>
      <c r="G26" s="46"/>
      <c r="H26" s="46"/>
      <c r="I26" s="46"/>
      <c r="J26" s="46"/>
      <c r="K26" s="46"/>
    </row>
    <row r="27" spans="2:11" x14ac:dyDescent="0.25">
      <c r="B27" s="46" t="s">
        <v>560</v>
      </c>
      <c r="C27" s="46"/>
      <c r="D27" s="46"/>
      <c r="E27" s="46"/>
      <c r="F27" s="46"/>
      <c r="G27" s="46"/>
      <c r="H27" s="46"/>
      <c r="I27" s="46"/>
      <c r="J27" s="46"/>
      <c r="K27" s="46"/>
    </row>
    <row r="28" spans="2:11" x14ac:dyDescent="0.25">
      <c r="B28" s="46" t="s">
        <v>561</v>
      </c>
      <c r="C28" s="46"/>
      <c r="D28" s="46"/>
      <c r="E28" s="46"/>
      <c r="F28" s="46"/>
      <c r="G28" s="46"/>
      <c r="H28" s="46"/>
      <c r="I28" s="46"/>
      <c r="J28" s="46"/>
      <c r="K28" s="46"/>
    </row>
    <row r="29" spans="2:11" x14ac:dyDescent="0.25">
      <c r="B29" s="46" t="s">
        <v>551</v>
      </c>
      <c r="C29" s="46"/>
      <c r="D29" s="46"/>
      <c r="E29" s="46"/>
      <c r="F29" s="46"/>
      <c r="G29" s="46"/>
      <c r="H29" s="46"/>
      <c r="I29" s="46"/>
      <c r="J29" s="46"/>
      <c r="K29" s="46"/>
    </row>
    <row r="30" spans="2:11" x14ac:dyDescent="0.25">
      <c r="B30" s="46" t="s">
        <v>562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2:11" x14ac:dyDescent="0.25">
      <c r="B31" s="46" t="s">
        <v>563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2:11" x14ac:dyDescent="0.25">
      <c r="B32" s="46" t="s">
        <v>564</v>
      </c>
      <c r="C32" s="46"/>
      <c r="D32" s="46"/>
      <c r="E32" s="46"/>
      <c r="F32" s="46"/>
      <c r="G32" s="46"/>
      <c r="H32" s="46"/>
      <c r="I32" s="46"/>
      <c r="J32" s="46"/>
      <c r="K32" s="46"/>
    </row>
    <row r="33" spans="2:11" x14ac:dyDescent="0.25">
      <c r="B33" s="46" t="s">
        <v>565</v>
      </c>
      <c r="C33" s="46"/>
      <c r="D33" s="46"/>
      <c r="E33" s="46"/>
      <c r="F33" s="46"/>
      <c r="G33" s="46"/>
      <c r="H33" s="46"/>
      <c r="I33" s="46"/>
      <c r="J33" s="46"/>
      <c r="K33" s="46"/>
    </row>
    <row r="34" spans="2:11" x14ac:dyDescent="0.25">
      <c r="B34" s="46" t="s">
        <v>551</v>
      </c>
      <c r="C34" s="46"/>
      <c r="D34" s="46"/>
      <c r="E34" s="46"/>
      <c r="F34" s="46"/>
      <c r="G34" s="46"/>
      <c r="H34" s="46"/>
      <c r="I34" s="46"/>
      <c r="J34" s="46"/>
      <c r="K34" s="46"/>
    </row>
    <row r="35" spans="2:11" x14ac:dyDescent="0.25">
      <c r="B35" s="46" t="s">
        <v>548</v>
      </c>
      <c r="C35" s="46"/>
      <c r="D35" s="46"/>
      <c r="E35" s="46"/>
      <c r="F35" s="46"/>
      <c r="G35" s="46"/>
      <c r="H35" s="46"/>
      <c r="I35" s="46"/>
      <c r="J35" s="46"/>
      <c r="K35" s="46"/>
    </row>
    <row r="37" spans="2:11" x14ac:dyDescent="0.25">
      <c r="B37" s="10" t="s">
        <v>568</v>
      </c>
      <c r="D37" s="46" t="str">
        <f>"&lt;a href='#' id='openmodal_"&amp;C13&amp;"'&gt;"&amp;C13&amp;"&lt;/a&gt;"</f>
        <v>&lt;a href='#' id='openmodal_team'&gt;team&lt;/a&gt;</v>
      </c>
      <c r="E37" s="46"/>
      <c r="F37" s="46"/>
      <c r="G37" s="46"/>
      <c r="H37" s="46"/>
    </row>
    <row r="38" spans="2:11" x14ac:dyDescent="0.25">
      <c r="C38" s="10" t="s">
        <v>570</v>
      </c>
      <c r="D38" s="46" t="str">
        <f>"@include('"&amp;E9&amp;"."&amp;E10&amp;"')"</f>
        <v>@include('projtemplates.team')</v>
      </c>
      <c r="E38" s="46"/>
      <c r="F38" s="46"/>
      <c r="G38" s="46"/>
      <c r="H38" s="46"/>
    </row>
    <row r="43" spans="2:11" x14ac:dyDescent="0.25">
      <c r="B43" s="10" t="s">
        <v>567</v>
      </c>
    </row>
    <row r="44" spans="2:11" x14ac:dyDescent="0.25">
      <c r="B44" s="46" t="str">
        <f>"$('#openmodal_"&amp;C13&amp;"').click(function(e){"</f>
        <v>$('#openmodal_team').click(function(e){</v>
      </c>
      <c r="C44" s="46"/>
      <c r="D44" s="46"/>
      <c r="E44" s="46"/>
      <c r="F44" s="46"/>
    </row>
    <row r="45" spans="2:11" x14ac:dyDescent="0.25">
      <c r="B45" s="46" t="s">
        <v>569</v>
      </c>
      <c r="C45" s="46"/>
      <c r="D45" s="46"/>
      <c r="E45" s="46"/>
      <c r="F45" s="46"/>
    </row>
    <row r="46" spans="2:11" x14ac:dyDescent="0.25">
      <c r="B46" s="46" t="str">
        <f>"    $('#"&amp;C13&amp;"').modal('show');"</f>
        <v xml:space="preserve">    $('#team').modal('show');</v>
      </c>
      <c r="C46" s="46"/>
      <c r="D46" s="46"/>
      <c r="E46" s="46"/>
      <c r="F46" s="46"/>
    </row>
    <row r="47" spans="2:11" x14ac:dyDescent="0.25">
      <c r="B47" s="46" t="s">
        <v>136</v>
      </c>
      <c r="C47" s="46"/>
      <c r="D47" s="46"/>
      <c r="E47" s="46"/>
      <c r="F47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Index</vt:lpstr>
      <vt:lpstr>Start project</vt:lpstr>
      <vt:lpstr>view controllers</vt:lpstr>
      <vt:lpstr>tables and models</vt:lpstr>
      <vt:lpstr>AutoLaravel v1</vt:lpstr>
      <vt:lpstr>Laravel</vt:lpstr>
      <vt:lpstr>FormGeneratorV1</vt:lpstr>
      <vt:lpstr>CRUD v1</vt:lpstr>
      <vt:lpstr>Modal edit form</vt:lpstr>
      <vt:lpstr>imperfect update v1</vt:lpstr>
      <vt:lpstr>inline ajax edit v1</vt:lpstr>
      <vt:lpstr>amChartsv1</vt:lpstr>
      <vt:lpstr>laravelAuth v1</vt:lpstr>
      <vt:lpstr>Laravel mail v1</vt:lpstr>
      <vt:lpstr>Controller generator</vt:lpstr>
      <vt:lpstr>table relations v1</vt:lpstr>
      <vt:lpstr>pending to automate</vt:lpstr>
      <vt:lpstr>error ptscreen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2013-12-03T22:59:17Z</dcterms:modified>
</cp:coreProperties>
</file>