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REFERENCE" sheetId="1" r:id="rId4"/>
    <sheet state="visible" name="Sheet16" sheetId="2" r:id="rId5"/>
    <sheet state="visible" name="Urban Built -up" sheetId="3" r:id="rId6"/>
    <sheet state="hidden" name="Sheet11" sheetId="4" r:id="rId7"/>
    <sheet state="visible" name="Urban GV" sheetId="5" r:id="rId8"/>
    <sheet state="visible" name="Rural Built-up" sheetId="6" r:id="rId9"/>
    <sheet state="hidden" name="Sheet9" sheetId="7" r:id="rId10"/>
    <sheet state="visible" name="Rural GV" sheetId="8" r:id="rId11"/>
    <sheet state="visible" name="Urban Forecasting" sheetId="9" r:id="rId12"/>
    <sheet state="visible" name="Rural Forecasting" sheetId="10" r:id="rId13"/>
    <sheet state="visible" name="Wards - program data" sheetId="11" r:id="rId14"/>
    <sheet state="visible" name="Hoblis - program data" sheetId="12" r:id="rId15"/>
  </sheets>
  <definedNames/>
  <calcPr/>
</workbook>
</file>

<file path=xl/sharedStrings.xml><?xml version="1.0" encoding="utf-8"?>
<sst xmlns="http://schemas.openxmlformats.org/spreadsheetml/2006/main" count="3660" uniqueCount="1200">
  <si>
    <t>Bengaluru Urban</t>
  </si>
  <si>
    <t>ZONE</t>
  </si>
  <si>
    <t>DIVISION</t>
  </si>
  <si>
    <t>SUB-DIVISION</t>
  </si>
  <si>
    <t>WARD</t>
  </si>
  <si>
    <t>Land Guidance Value (per sq m)</t>
  </si>
  <si>
    <t>AREA</t>
  </si>
  <si>
    <t>Land area (in sq m)</t>
  </si>
  <si>
    <t>2007-2013</t>
  </si>
  <si>
    <t>2014-2016</t>
  </si>
  <si>
    <t>2016-2017</t>
  </si>
  <si>
    <t>2017-2018</t>
  </si>
  <si>
    <t>2018-2022</t>
  </si>
  <si>
    <t>Yelahanka</t>
  </si>
  <si>
    <t>Yelehanka</t>
  </si>
  <si>
    <t>Kempegowda Ward</t>
  </si>
  <si>
    <t>Jaya Nagar</t>
  </si>
  <si>
    <t xml:space="preserve">Jaya Nagar 1 Block </t>
  </si>
  <si>
    <t>Chowdeshwari Ward</t>
  </si>
  <si>
    <t>Shanti Nagar</t>
  </si>
  <si>
    <t>Yelahanka Satellite Town</t>
  </si>
  <si>
    <t>Attur</t>
  </si>
  <si>
    <t>Kengeri</t>
  </si>
  <si>
    <t>Begur</t>
  </si>
  <si>
    <t>Byataranyapura</t>
  </si>
  <si>
    <t>Jakkur</t>
  </si>
  <si>
    <t>Rajarajeshwari Nagar</t>
  </si>
  <si>
    <t>Thanisandra</t>
  </si>
  <si>
    <t>Bomanahalli</t>
  </si>
  <si>
    <t>Kodigehalli</t>
  </si>
  <si>
    <t>Byatarayanapura</t>
  </si>
  <si>
    <t xml:space="preserve">JP Nagar Outer Ring Road </t>
  </si>
  <si>
    <t>Thavarekere</t>
  </si>
  <si>
    <t xml:space="preserve"> Vidyaranyapura</t>
  </si>
  <si>
    <t>Vidyaranyapura</t>
  </si>
  <si>
    <t xml:space="preserve">BTM Layout </t>
  </si>
  <si>
    <t>Doddabommasandra</t>
  </si>
  <si>
    <t>Kuvempu Nagar</t>
  </si>
  <si>
    <t>Shivaji Nagar</t>
  </si>
  <si>
    <t xml:space="preserve">Indira Nagar </t>
  </si>
  <si>
    <t>Mahadevapura</t>
  </si>
  <si>
    <t>K.R Puram</t>
  </si>
  <si>
    <t>Horamavu</t>
  </si>
  <si>
    <t>Ulsoor</t>
  </si>
  <si>
    <t>Ramamurthy Nagar</t>
  </si>
  <si>
    <t>Banaswadi</t>
  </si>
  <si>
    <t>Vijinapura</t>
  </si>
  <si>
    <t>KR Puram</t>
  </si>
  <si>
    <t>Basavanapura</t>
  </si>
  <si>
    <t>Bidarahalli</t>
  </si>
  <si>
    <t>Devasandra</t>
  </si>
  <si>
    <t xml:space="preserve">Varthur </t>
  </si>
  <si>
    <t>HAL Airport</t>
  </si>
  <si>
    <t>A.Narayanapura</t>
  </si>
  <si>
    <t>Vignana Nagar</t>
  </si>
  <si>
    <t>Rajaji Nagar</t>
  </si>
  <si>
    <t>Yeshwantpur</t>
  </si>
  <si>
    <t>Hoodi</t>
  </si>
  <si>
    <t>Vijay Nagar</t>
  </si>
  <si>
    <t>Garudacharpalya</t>
  </si>
  <si>
    <t>Srirampura</t>
  </si>
  <si>
    <t>Doddanekkundi</t>
  </si>
  <si>
    <t xml:space="preserve">Peenya </t>
  </si>
  <si>
    <t>Whitefield</t>
  </si>
  <si>
    <t>Kadugodi</t>
  </si>
  <si>
    <t>Laggere</t>
  </si>
  <si>
    <t>Hagadooru</t>
  </si>
  <si>
    <t>Nagarbhavi</t>
  </si>
  <si>
    <t>Varthur</t>
  </si>
  <si>
    <t>Madanayakanahalli</t>
  </si>
  <si>
    <t>Marathahalli</t>
  </si>
  <si>
    <t>Dasanapura</t>
  </si>
  <si>
    <t>Bellandur</t>
  </si>
  <si>
    <t>Basavangudi</t>
  </si>
  <si>
    <t xml:space="preserve">Sri Nagara </t>
  </si>
  <si>
    <t>Dasarahalli</t>
  </si>
  <si>
    <t>Shettyhalli</t>
  </si>
  <si>
    <t xml:space="preserve">Basavangudi </t>
  </si>
  <si>
    <t>Mallasandra</t>
  </si>
  <si>
    <t>Anekal</t>
  </si>
  <si>
    <t>T-Dasarahalli</t>
  </si>
  <si>
    <t>Bagalagunte</t>
  </si>
  <si>
    <t>Sarjapura</t>
  </si>
  <si>
    <t>T.Dasarahalli</t>
  </si>
  <si>
    <t>Jigani</t>
  </si>
  <si>
    <t>Hegganahalli</t>
  </si>
  <si>
    <t>Peenya Industrial Area</t>
  </si>
  <si>
    <t>Chokkasandra</t>
  </si>
  <si>
    <t>Chamrajpet</t>
  </si>
  <si>
    <t>Banashankari</t>
  </si>
  <si>
    <t>Rajagopala Nagar</t>
  </si>
  <si>
    <t>Attibele</t>
  </si>
  <si>
    <t>Gandhi Nagar</t>
  </si>
  <si>
    <t>Gandhi Nagara</t>
  </si>
  <si>
    <t>Rajarajeshwari</t>
  </si>
  <si>
    <t>Jayamahal</t>
  </si>
  <si>
    <t>Jnanabharathi ward</t>
  </si>
  <si>
    <t>Malleshwaram</t>
  </si>
  <si>
    <t>Kacharakanahalli</t>
  </si>
  <si>
    <t>Kottigepalya</t>
  </si>
  <si>
    <t>Hebbal</t>
  </si>
  <si>
    <t>Yeshwanthpur</t>
  </si>
  <si>
    <t>Lakshmidevi Nagar</t>
  </si>
  <si>
    <t>H.M.T</t>
  </si>
  <si>
    <t>Gangenahalli</t>
  </si>
  <si>
    <t xml:space="preserve">Ganga Nagar </t>
  </si>
  <si>
    <t>Jalahalli</t>
  </si>
  <si>
    <t>Chokkanahalli</t>
  </si>
  <si>
    <t>J. P. Park</t>
  </si>
  <si>
    <t>Chikkajala</t>
  </si>
  <si>
    <t>Ullalu</t>
  </si>
  <si>
    <t xml:space="preserve">Yelahanka industrial area </t>
  </si>
  <si>
    <t>Hesarughatta</t>
  </si>
  <si>
    <t xml:space="preserve">Hemmigepura </t>
  </si>
  <si>
    <t>Herohalli</t>
  </si>
  <si>
    <t>Doddabidarakallu</t>
  </si>
  <si>
    <t>Bilekahalli</t>
  </si>
  <si>
    <t>Hongasandra</t>
  </si>
  <si>
    <t xml:space="preserve"> </t>
  </si>
  <si>
    <t>Arakere</t>
  </si>
  <si>
    <t>Jaraganahalli</t>
  </si>
  <si>
    <t>Puttenahalli</t>
  </si>
  <si>
    <t>HSR Layout</t>
  </si>
  <si>
    <t>Mangammanapalya</t>
  </si>
  <si>
    <t>Anjanapur</t>
  </si>
  <si>
    <t>Singasandra</t>
  </si>
  <si>
    <t>Anjanapura</t>
  </si>
  <si>
    <t>Gottigere</t>
  </si>
  <si>
    <t>Uttarahalli</t>
  </si>
  <si>
    <t>Yelachenahalli</t>
  </si>
  <si>
    <t>Konanakunte</t>
  </si>
  <si>
    <t>Vasanthapura</t>
  </si>
  <si>
    <t>West</t>
  </si>
  <si>
    <t>Mahalakshmi Layout</t>
  </si>
  <si>
    <t>Mahalakshi Layout</t>
  </si>
  <si>
    <t>Nandini Layout</t>
  </si>
  <si>
    <t>Marappanahalli</t>
  </si>
  <si>
    <t>Mahalakshmipuram</t>
  </si>
  <si>
    <t>Shakthiganapathi Nagar</t>
  </si>
  <si>
    <t>Nagapura</t>
  </si>
  <si>
    <t>Shankaramata</t>
  </si>
  <si>
    <t>Vrushabhavathi Nagar</t>
  </si>
  <si>
    <t>Mathikere</t>
  </si>
  <si>
    <t>Aramane Nagar</t>
  </si>
  <si>
    <t>Rajamahal</t>
  </si>
  <si>
    <t>Kudumalleshwara</t>
  </si>
  <si>
    <t>Subramanya Nagar</t>
  </si>
  <si>
    <t>Gayathri Nagar</t>
  </si>
  <si>
    <t>Basaveshwara Nagar</t>
  </si>
  <si>
    <t>Kamakshipalya</t>
  </si>
  <si>
    <t>Shiva Nagar</t>
  </si>
  <si>
    <t>Srirammandira</t>
  </si>
  <si>
    <t>Dayananda Nagar</t>
  </si>
  <si>
    <t>Prakash Nagar</t>
  </si>
  <si>
    <t xml:space="preserve">Srirammamandira </t>
  </si>
  <si>
    <t>Dattathreya Temple</t>
  </si>
  <si>
    <t>Subhasha Nagar</t>
  </si>
  <si>
    <t>Okalipuram</t>
  </si>
  <si>
    <t>Chikpet</t>
  </si>
  <si>
    <t>Cottonpet</t>
  </si>
  <si>
    <t>Binnypet</t>
  </si>
  <si>
    <t>Jagajeevanram Nagar</t>
  </si>
  <si>
    <t>Padarayanapura</t>
  </si>
  <si>
    <t>Jagareevanram Nagar</t>
  </si>
  <si>
    <t>Rayapuram</t>
  </si>
  <si>
    <t>Chalavadipalya</t>
  </si>
  <si>
    <t>K.R Market</t>
  </si>
  <si>
    <t>Azad Nagar</t>
  </si>
  <si>
    <t>Govindraja  Nagar</t>
  </si>
  <si>
    <t>Govindraja Nagar</t>
  </si>
  <si>
    <t>Kaveripura</t>
  </si>
  <si>
    <t>Govindraja Nagara</t>
  </si>
  <si>
    <t>Agrahara Dasarahalli</t>
  </si>
  <si>
    <t>Dr. Rajkumar Ward</t>
  </si>
  <si>
    <t>Marenahalli</t>
  </si>
  <si>
    <t>Chandralayout</t>
  </si>
  <si>
    <t>Maruthi Mandira Ward</t>
  </si>
  <si>
    <t>Moodalapalya</t>
  </si>
  <si>
    <t>Nagarabhavi</t>
  </si>
  <si>
    <t>Nayandanahalli</t>
  </si>
  <si>
    <t>South</t>
  </si>
  <si>
    <t>Kempegowda Nagar</t>
  </si>
  <si>
    <t>Sudam Nagar</t>
  </si>
  <si>
    <t>Dharmarayaswamy Temple Road</t>
  </si>
  <si>
    <t>Sunkenahalli</t>
  </si>
  <si>
    <t>Vishweshrapura</t>
  </si>
  <si>
    <t>Hombegowda Nagar</t>
  </si>
  <si>
    <t>Siddapura</t>
  </si>
  <si>
    <t>Vijaya Nagar</t>
  </si>
  <si>
    <t>Kempapura Agrahara</t>
  </si>
  <si>
    <t>Hosahalli</t>
  </si>
  <si>
    <t>Bapuji Nagar</t>
  </si>
  <si>
    <t>Gali Anjaneyaswamy Temple</t>
  </si>
  <si>
    <t>Attiguppe</t>
  </si>
  <si>
    <t>Hampi Nagar</t>
  </si>
  <si>
    <t>Gali Anjaneya swami Temple Ward</t>
  </si>
  <si>
    <t>Deepanjali Nagar</t>
  </si>
  <si>
    <t>Hanumantha Nagar</t>
  </si>
  <si>
    <t>Vidyapeetha Wrd</t>
  </si>
  <si>
    <t>Giri Nagar</t>
  </si>
  <si>
    <t>Sri Nagar</t>
  </si>
  <si>
    <t>Katriguppe</t>
  </si>
  <si>
    <t>Padmanabha Nagar</t>
  </si>
  <si>
    <t>Hosakerehalli</t>
  </si>
  <si>
    <t>Kumaraswamy Layout</t>
  </si>
  <si>
    <t>Chikkallasandra</t>
  </si>
  <si>
    <t>Ganeshmandira Wrd</t>
  </si>
  <si>
    <t>Karisandra</t>
  </si>
  <si>
    <t>Yadiyuru</t>
  </si>
  <si>
    <t>Banashankri Temple Ward</t>
  </si>
  <si>
    <t>BTM Layout</t>
  </si>
  <si>
    <t>Lakkasandra</t>
  </si>
  <si>
    <t>Sudduguntepalya</t>
  </si>
  <si>
    <t>Madiwala</t>
  </si>
  <si>
    <t>Koranmangala</t>
  </si>
  <si>
    <t>Adugodi</t>
  </si>
  <si>
    <t>Ejipura</t>
  </si>
  <si>
    <t>Koramangala</t>
  </si>
  <si>
    <t>Jakkasandra</t>
  </si>
  <si>
    <t>Pattabhiram Nagar</t>
  </si>
  <si>
    <t>Byrasandra</t>
  </si>
  <si>
    <t>Jaya Nagar East</t>
  </si>
  <si>
    <t>Guruppanapalya</t>
  </si>
  <si>
    <t>J.P Nagar</t>
  </si>
  <si>
    <t>Sarakki</t>
  </si>
  <si>
    <t>Shakambari Nagar</t>
  </si>
  <si>
    <t>East</t>
  </si>
  <si>
    <t>Radhakrishna Temple Ward</t>
  </si>
  <si>
    <t>Sanjay Nagar</t>
  </si>
  <si>
    <t>Ganga Nagar</t>
  </si>
  <si>
    <t>J.C Nagar</t>
  </si>
  <si>
    <t>Vishwanatha Nagenahalli</t>
  </si>
  <si>
    <t>Manorayanapalya</t>
  </si>
  <si>
    <t>Jayachamarajendra Nagar</t>
  </si>
  <si>
    <t>Pulikeshi Nagar</t>
  </si>
  <si>
    <t>K.G Halli</t>
  </si>
  <si>
    <t>Kushal Nagar</t>
  </si>
  <si>
    <t>Kavalbyrasandra</t>
  </si>
  <si>
    <t>Muneshwara Nagar</t>
  </si>
  <si>
    <t>Sagayapuram</t>
  </si>
  <si>
    <t>Devarajeevanahalli</t>
  </si>
  <si>
    <t>SK Garden</t>
  </si>
  <si>
    <t>Sarvagna Nagar</t>
  </si>
  <si>
    <t>Maruthiseva Nagar</t>
  </si>
  <si>
    <t>Kamanahalli</t>
  </si>
  <si>
    <t>Lingarajapura</t>
  </si>
  <si>
    <t>HBR Layout</t>
  </si>
  <si>
    <t>Nagavara</t>
  </si>
  <si>
    <t>Kacharakanalli</t>
  </si>
  <si>
    <t>Kadugondanahalli</t>
  </si>
  <si>
    <t>CV Raman Nagar</t>
  </si>
  <si>
    <t>Jeevanbhima Nagar</t>
  </si>
  <si>
    <t>Hoysala Nagar</t>
  </si>
  <si>
    <t>Konena Agrahara</t>
  </si>
  <si>
    <t>CV Raman  Nagar</t>
  </si>
  <si>
    <t>Benniganahalli</t>
  </si>
  <si>
    <t>Hosathippasandra</t>
  </si>
  <si>
    <t>Shanthi Nagar</t>
  </si>
  <si>
    <t>Shanthala Nagar</t>
  </si>
  <si>
    <t>Neelasandra</t>
  </si>
  <si>
    <t>Domlur</t>
  </si>
  <si>
    <t>Jogupalya</t>
  </si>
  <si>
    <t>Agaram</t>
  </si>
  <si>
    <t>Vannarpet</t>
  </si>
  <si>
    <t>Bharathi Nagar</t>
  </si>
  <si>
    <t>Vasanth Nagar</t>
  </si>
  <si>
    <t>Ramaswamy palya</t>
  </si>
  <si>
    <t>Sampangiram Nagar</t>
  </si>
  <si>
    <t>Forecasted Guidance Value per sq m</t>
  </si>
  <si>
    <t xml:space="preserve">Ward </t>
  </si>
  <si>
    <t>Dharmarayaswamy Temple</t>
  </si>
  <si>
    <t xml:space="preserve">Jayamahal	</t>
  </si>
  <si>
    <t>Sudhama Nagar</t>
  </si>
  <si>
    <t>Basavanagudi</t>
  </si>
  <si>
    <t>Chamarajapet</t>
  </si>
  <si>
    <t>Krishnarajendra Market</t>
  </si>
  <si>
    <t>Vishvesvarapuram</t>
  </si>
  <si>
    <t>Gali Anjaneya Temple</t>
  </si>
  <si>
    <t>Yeshwanthpura</t>
  </si>
  <si>
    <t>Binnipete</t>
  </si>
  <si>
    <t>Chickpete</t>
  </si>
  <si>
    <t>Vidyapeetha</t>
  </si>
  <si>
    <t>Maruthi Mandira</t>
  </si>
  <si>
    <t>J. P. Nagar</t>
  </si>
  <si>
    <t>J.P.Park</t>
  </si>
  <si>
    <t>Kathriguppe</t>
  </si>
  <si>
    <t>Radhakrishna Temple</t>
  </si>
  <si>
    <t>Lingarajapuram</t>
  </si>
  <si>
    <t>Sampangirama Nagar</t>
  </si>
  <si>
    <t>Jeevanabima Nagar</t>
  </si>
  <si>
    <t>Sriramamandir</t>
  </si>
  <si>
    <t>Hebbala</t>
  </si>
  <si>
    <t>Yelahanka 2</t>
  </si>
  <si>
    <t>Subrahmanya Nagar</t>
  </si>
  <si>
    <t>Suddaguntepalya</t>
  </si>
  <si>
    <t>Kadumalleshwara</t>
  </si>
  <si>
    <t xml:space="preserve">Yelahanka </t>
  </si>
  <si>
    <t>Dr. Rajkumar</t>
  </si>
  <si>
    <t>Yelahanka 1</t>
  </si>
  <si>
    <t>Doddanekundi</t>
  </si>
  <si>
    <t>Uttarahalli 2</t>
  </si>
  <si>
    <t>Uttarahalli 5</t>
  </si>
  <si>
    <t>Uttarahalli 3</t>
  </si>
  <si>
    <t xml:space="preserve">Uttarahalli </t>
  </si>
  <si>
    <t>Uttarahalli 1</t>
  </si>
  <si>
    <t>Uttarahalli 4</t>
  </si>
  <si>
    <t>KR Puram 2</t>
  </si>
  <si>
    <t xml:space="preserve">KR Puram 1 </t>
  </si>
  <si>
    <t>Yelahanka 3</t>
  </si>
  <si>
    <t>KR Puram 3</t>
  </si>
  <si>
    <t xml:space="preserve">KR Puram </t>
  </si>
  <si>
    <t>Shankara Matha</t>
  </si>
  <si>
    <t>Gurappanapalya</t>
  </si>
  <si>
    <t>Ramaswamypalya</t>
  </si>
  <si>
    <t>Jnanabharathi</t>
  </si>
  <si>
    <t>Banashankari Temple</t>
  </si>
  <si>
    <t>Govindaraja Nagar</t>
  </si>
  <si>
    <t>Ganesh Mandira</t>
  </si>
  <si>
    <t>Hemmigepura</t>
  </si>
  <si>
    <t>Yeshwantpur 1</t>
  </si>
  <si>
    <t>Kammanahalli</t>
  </si>
  <si>
    <t xml:space="preserve">Yeshwantpur  </t>
  </si>
  <si>
    <t>Marappa Palya</t>
  </si>
  <si>
    <t>C.V.Raman Nagar</t>
  </si>
  <si>
    <t>Subhash Nagar</t>
  </si>
  <si>
    <t xml:space="preserve">Varthur 2 </t>
  </si>
  <si>
    <t xml:space="preserve">Varthur 1 </t>
  </si>
  <si>
    <t>Yeshwantpur 2</t>
  </si>
  <si>
    <t>Chikkalasandra</t>
  </si>
  <si>
    <t>Yediyur</t>
  </si>
  <si>
    <t>Jagjivanram Nagar</t>
  </si>
  <si>
    <t>Krishnarajapuram</t>
  </si>
  <si>
    <t>Vijinanapura</t>
  </si>
  <si>
    <t>Nayandahalli</t>
  </si>
  <si>
    <t>Kengeri 4</t>
  </si>
  <si>
    <t>Sagayarapuram</t>
  </si>
  <si>
    <t>Dasanapura 2</t>
  </si>
  <si>
    <t>Kengeri 1</t>
  </si>
  <si>
    <t>Kengeri 3</t>
  </si>
  <si>
    <t>Dasanapura 1</t>
  </si>
  <si>
    <t>Dasanapura 3</t>
  </si>
  <si>
    <t>Kengeri 2</t>
  </si>
  <si>
    <t>Sarvana Nagar</t>
  </si>
  <si>
    <t>Bommanahalli</t>
  </si>
  <si>
    <t xml:space="preserve">Begur 1 </t>
  </si>
  <si>
    <t xml:space="preserve">Bidarahalli 1 </t>
  </si>
  <si>
    <t>Tavarekere 3</t>
  </si>
  <si>
    <t>Kadugudi</t>
  </si>
  <si>
    <t xml:space="preserve">Tavarekere 1 </t>
  </si>
  <si>
    <t>Tavarekere 2</t>
  </si>
  <si>
    <t xml:space="preserve">Bidarahalli 3 </t>
  </si>
  <si>
    <t xml:space="preserve">Begur 3 </t>
  </si>
  <si>
    <t>Begur 2</t>
  </si>
  <si>
    <t xml:space="preserve">Begur </t>
  </si>
  <si>
    <t>Vrishabhavathi</t>
  </si>
  <si>
    <t>Bidarahalli 2</t>
  </si>
  <si>
    <t>Jala 2</t>
  </si>
  <si>
    <t>Jigani 2</t>
  </si>
  <si>
    <t>Dodda Bidarkallu</t>
  </si>
  <si>
    <t>Jala 1</t>
  </si>
  <si>
    <t>Jala 3</t>
  </si>
  <si>
    <t>Jigani 1</t>
  </si>
  <si>
    <t>Sarjapur 3</t>
  </si>
  <si>
    <t>Devarajeevanahalii</t>
  </si>
  <si>
    <t>Sarjapur 1</t>
  </si>
  <si>
    <t>S. K. Garden</t>
  </si>
  <si>
    <t>Sarjapur 2</t>
  </si>
  <si>
    <t>Attibele 1</t>
  </si>
  <si>
    <t>Hesaraghatta 2</t>
  </si>
  <si>
    <t>Attibele 2</t>
  </si>
  <si>
    <t>Hesaraghatta 1</t>
  </si>
  <si>
    <t xml:space="preserve">Rural </t>
  </si>
  <si>
    <t>Rural</t>
  </si>
  <si>
    <t>Vijayapura</t>
  </si>
  <si>
    <t>Kasaba</t>
  </si>
  <si>
    <t xml:space="preserve">Sompura 2 </t>
  </si>
  <si>
    <t>Sulibele</t>
  </si>
  <si>
    <t>Kundana</t>
  </si>
  <si>
    <t>Jadigenahalli</t>
  </si>
  <si>
    <t>Sompura 1</t>
  </si>
  <si>
    <t>Channarayapattana</t>
  </si>
  <si>
    <t>Nandagudi</t>
  </si>
  <si>
    <t>Anugondanahalli</t>
  </si>
  <si>
    <t>Thyamagondlu 1</t>
  </si>
  <si>
    <t>Thyamagondlu 2</t>
  </si>
  <si>
    <t>Tubagere</t>
  </si>
  <si>
    <t>Madhure</t>
  </si>
  <si>
    <t>Doddabelavangala</t>
  </si>
  <si>
    <t>Sasalu</t>
  </si>
  <si>
    <t>TALUK</t>
  </si>
  <si>
    <t>HOBLI</t>
  </si>
  <si>
    <t>Built-up Growth</t>
  </si>
  <si>
    <t>Bangalore North</t>
  </si>
  <si>
    <t>Yelakanaka 1</t>
  </si>
  <si>
    <t>Bangalore East</t>
  </si>
  <si>
    <t>Yeshwanthpura-1</t>
  </si>
  <si>
    <t>Yeshwanthpura-2</t>
  </si>
  <si>
    <t>City Circle</t>
  </si>
  <si>
    <t>Bangalore South</t>
  </si>
  <si>
    <t>Kasaba-1</t>
  </si>
  <si>
    <t>Kasaba-2</t>
  </si>
  <si>
    <t>Tavarekere</t>
  </si>
  <si>
    <t xml:space="preserve">Regression Analysis Equation </t>
  </si>
  <si>
    <t>Visvesvarapuram</t>
  </si>
  <si>
    <t>Bengaluru Rural</t>
  </si>
  <si>
    <t>Built-up</t>
  </si>
  <si>
    <t>Hosakote</t>
  </si>
  <si>
    <t>Devanahalli</t>
  </si>
  <si>
    <t>Doddaballapur</t>
  </si>
  <si>
    <t>Nelamangala</t>
  </si>
  <si>
    <t>Area</t>
  </si>
  <si>
    <t>Year</t>
  </si>
  <si>
    <t>UG</t>
  </si>
  <si>
    <t>Sompura 2</t>
  </si>
  <si>
    <t>BENGALURU URBAN</t>
  </si>
  <si>
    <t>Built-up from Map</t>
  </si>
  <si>
    <t>Fitted line for Built-up vs Year</t>
  </si>
  <si>
    <t>Fitted Line for 2031 Built-up Growth</t>
  </si>
  <si>
    <t xml:space="preserve">Percentage Difference </t>
  </si>
  <si>
    <t>Fitted line for Guidance Value vs Year</t>
  </si>
  <si>
    <t>Fitted Line for 2031 Guidance Value</t>
  </si>
  <si>
    <t>Guidance Value from Kaveri Portal</t>
  </si>
  <si>
    <t xml:space="preserve">GV from Regression Analysis </t>
  </si>
  <si>
    <t>Percentage Difference</t>
  </si>
  <si>
    <t>Forecasted Guidance Value per sq ft</t>
  </si>
  <si>
    <t>Y = -1573346 + 786.5 X</t>
  </si>
  <si>
    <t>Y = -10268372 + 5117 X</t>
  </si>
  <si>
    <t>Guidance Value = -11017484 + 5491*Year - 0.45*Built-up</t>
  </si>
  <si>
    <t>Y = -2245716 + 1124 X</t>
  </si>
  <si>
    <t xml:space="preserve">Y = -10667627 + 5315 X </t>
  </si>
  <si>
    <t>Guidance Value = -9226455 + 4594*Year + 0.62*Built-up</t>
  </si>
  <si>
    <t>Y = -433580 + 221.5X</t>
  </si>
  <si>
    <t xml:space="preserve">Y = -2193625 + 1097 X </t>
  </si>
  <si>
    <t>Guidance Value = -2214256 + 1110*Year - 0.283*Built-up</t>
  </si>
  <si>
    <t>Y = -1178776 + 599.9 X</t>
  </si>
  <si>
    <t>Y = -4292912 + 2145 X</t>
  </si>
  <si>
    <t>Guidance Value = -5108216 + 2561*Year - 0.75*Built-up</t>
  </si>
  <si>
    <t xml:space="preserve">Y = -5502766 + 2755 X </t>
  </si>
  <si>
    <t xml:space="preserve">Y = -19002499 + 9455 X </t>
  </si>
  <si>
    <t>Guidance Value = -21960294 + 10935*Year -0.521*Built-up</t>
  </si>
  <si>
    <t xml:space="preserve">Y = -937435 + 471.7 X </t>
  </si>
  <si>
    <t xml:space="preserve">Y = -7044595 + 3513 X </t>
  </si>
  <si>
    <t>Guidance Value = -6752639 + 3366*Year + 0.29*Built-up</t>
  </si>
  <si>
    <t xml:space="preserve">Y = -1591068 + 800.5 X </t>
  </si>
  <si>
    <t xml:space="preserve">Y = -5793115 + 2885 X </t>
  </si>
  <si>
    <t>Guidance Value = -4479848 + 2223*Year + 0.884*Built-up</t>
  </si>
  <si>
    <t>Y = -329608 + 167.8 X</t>
  </si>
  <si>
    <t xml:space="preserve">Y = -5245076 + 2614 X </t>
  </si>
  <si>
    <t xml:space="preserve">Guidance Value = -5148608 + 2566*Year + 0.037*Built-up </t>
  </si>
  <si>
    <t xml:space="preserve">Y = -136910 + 73.99 X </t>
  </si>
  <si>
    <t>Y = -5709673 + 2850 X</t>
  </si>
  <si>
    <t>Guidance Value = -6267944 + 3155*Year -4.55*Built-up</t>
  </si>
  <si>
    <t>Y = -2278860 + 1141 X</t>
  </si>
  <si>
    <t>Y = -14086824 + 7010 X</t>
  </si>
  <si>
    <t>Guidance Value = -17552425 + 8746*Year - 1.42*Built-up</t>
  </si>
  <si>
    <t>Y = -98027 + 52.89 X</t>
  </si>
  <si>
    <t>Y = -5104393 + 2547 X</t>
  </si>
  <si>
    <t>Guidance Value = -5448012 + 2733.7*Year - 3.78*Built-up</t>
  </si>
  <si>
    <t>Y = -32596 + 23.34 X</t>
  </si>
  <si>
    <t>Y = -4932732 + 2460 X</t>
  </si>
  <si>
    <t>Guidance Value = -4873038 + 2416*Year + 2.04*Built-up</t>
  </si>
  <si>
    <t>Y = -804112 + 408.7 X</t>
  </si>
  <si>
    <t>Y = -3871999 + 1930 X</t>
  </si>
  <si>
    <t>Guidance Value = -3969553 + 1980.1*Year - 0.157*Built-up</t>
  </si>
  <si>
    <t xml:space="preserve">Y = -839395 + 423.0 X </t>
  </si>
  <si>
    <t xml:space="preserve">Y = - 5739830 + 2862 X </t>
  </si>
  <si>
    <t>Guidance Value = -5890607 + 2939*Year - 0.290*Built-up</t>
  </si>
  <si>
    <t>Y = -326514 + 167.6 X</t>
  </si>
  <si>
    <t>Y = -4531431 + 2264 X</t>
  </si>
  <si>
    <t>Guidance Value = -4559398 + 2279.02*Year - 0.1786*Built-up</t>
  </si>
  <si>
    <t xml:space="preserve">Y = -240135 + 124.7 X </t>
  </si>
  <si>
    <t xml:space="preserve">Y = -3939775 + 1963 X </t>
  </si>
  <si>
    <t>Guidance Value = -4158404 + 2075*Year - 0.619*Built-up</t>
  </si>
  <si>
    <t xml:space="preserve">Y = -3053059 + 1541 X </t>
  </si>
  <si>
    <t>Y = - 8630679 +4300 X</t>
  </si>
  <si>
    <t>Guidance Value = -8960943 + 4466*Year - 0.091*Built-up</t>
  </si>
  <si>
    <t>Y = -226838 + 117.7 X</t>
  </si>
  <si>
    <t>Y = -3829784 + 1912 X</t>
  </si>
  <si>
    <t>Guidance Value = -3654781 + 1821.1*Year + 0.780*Built-up</t>
  </si>
  <si>
    <t xml:space="preserve">Y = -101886 + 54.15 X </t>
  </si>
  <si>
    <t>Y = -28290558 + 14105 X</t>
  </si>
  <si>
    <t>Guidance Value = -31117591 + 15611*Year -28.5*Built-up</t>
  </si>
  <si>
    <t xml:space="preserve">Y = -322395 + 167.3 X </t>
  </si>
  <si>
    <t xml:space="preserve">Y = -4928887 + 2459 X </t>
  </si>
  <si>
    <t>Guidance Value = -4464998 + 2220*Year + 1.22*Built-up</t>
  </si>
  <si>
    <t>Y = -204065 +105.3 X</t>
  </si>
  <si>
    <t>Y = -9646138 + 4803 X</t>
  </si>
  <si>
    <t>Guidance Value = -11645354 + 5837*Year - 10.28*Built-up</t>
  </si>
  <si>
    <t>Y = -1374540 + 693.6 X</t>
  </si>
  <si>
    <t>Y = -7662557 + 3820 X</t>
  </si>
  <si>
    <t>Guidance Value = -5895903 + 2929*Year + 1.24*Built-up</t>
  </si>
  <si>
    <t xml:space="preserve">Y = -717856 + 360.1 X </t>
  </si>
  <si>
    <t>Guidance Value = -3571724 + 1782.5*Year + 0.362*Built-up</t>
  </si>
  <si>
    <t>Y = -1094066 + 560.4 X</t>
  </si>
  <si>
    <t>Y = -7965355 + 3971 X</t>
  </si>
  <si>
    <t>Guidance Value = -7191267 + 3572*Year +0.8*Built-up</t>
  </si>
  <si>
    <t>Y = -588282 + 301.4 X</t>
  </si>
  <si>
    <t>Y = -5275625 + 2628 X</t>
  </si>
  <si>
    <t>Guidance Value = -5817120 + 2907.6*Year - 1.094*Built-up</t>
  </si>
  <si>
    <t>Y = -38783 + 23.41 X</t>
  </si>
  <si>
    <t>Y = -5399262 +2690 X</t>
  </si>
  <si>
    <t>Guidance Value = -5472128 + 2734.8*Year - 2.08*Built-up</t>
  </si>
  <si>
    <t>Y = - 374407 + 193.5 X</t>
  </si>
  <si>
    <t>Y = - 6013775 + 2996 X</t>
  </si>
  <si>
    <t>Guidance Value   =  -5700477 + 2834 *Year+ 0.81 *Built-up</t>
  </si>
  <si>
    <t>Y = - 133757 + 75.4 X</t>
  </si>
  <si>
    <t>Y = - 5763367 + 2874 X</t>
  </si>
  <si>
    <t>Guidance Value  =  -5639124 + 2801*Year + 1.26 *Built-up</t>
  </si>
  <si>
    <t>Y = 41032 - 15.25 X</t>
  </si>
  <si>
    <t>Y = - 7944186 + 3955 X</t>
  </si>
  <si>
    <t>Guidance Value  =  -7679161 + 3818 *Year + 0.74 *Built-up</t>
  </si>
  <si>
    <t>Y = - 32508 + 19.49 X</t>
  </si>
  <si>
    <t>Y = - 7086832 + 3534 X</t>
  </si>
  <si>
    <t>Guidance Value  =  -8937980 + 4643 *Year - 56.9 *Built-up</t>
  </si>
  <si>
    <t xml:space="preserve"> Y = - 42575 + 23.98 X</t>
  </si>
  <si>
    <t xml:space="preserve"> Y = - 3566705 + 1779 X</t>
  </si>
  <si>
    <t>Guidance Value  =  -3385342 + 1684 *Year + 2.06 *Built-up</t>
  </si>
  <si>
    <t>Y = - 94654 + 49.37 X</t>
  </si>
  <si>
    <t xml:space="preserve">  Y = - 2705951 + 1353 X</t>
  </si>
  <si>
    <t>Guidance Value  =  -2186264 + 1081 *Year + 5.87 *Built-up</t>
  </si>
  <si>
    <t xml:space="preserve"> Y = - 481445 + 247.9 X</t>
  </si>
  <si>
    <t xml:space="preserve"> Y = - 4048610 + 2023 X</t>
  </si>
  <si>
    <t>Guidance Value  =  -3994280 + 1994.8 *Year+ 0.133 *Built-up</t>
  </si>
  <si>
    <t>Y = 8080 - 0.27 X</t>
  </si>
  <si>
    <t>Y = - 10471068 + 5222 X</t>
  </si>
  <si>
    <t>Guidance Value = -10468336 + 5230*Year - 2.6*Built-up</t>
  </si>
  <si>
    <t xml:space="preserve"> Y = - 170053 +88.55 X</t>
  </si>
  <si>
    <t xml:space="preserve"> Y = - 4257690 + 2122 X</t>
  </si>
  <si>
    <t>Guidance Value  =  -4218089 + 2102 *Year+ 0.18 *Built-up</t>
  </si>
  <si>
    <t xml:space="preserve"> Y=  - 1059970 + 537.3 X</t>
  </si>
  <si>
    <t>Y = - 9501837 + 4730 X</t>
  </si>
  <si>
    <t>Guidance Value  =  -9999377 + 4982 *Year- 0.436 *Built-up</t>
  </si>
  <si>
    <t>Y = - 341308 + 177.0 X</t>
  </si>
  <si>
    <t xml:space="preserve"> Y = - 2845046 + 1420 X</t>
  </si>
  <si>
    <t>Guidance Value  = -2756678 + 1373.0 *Year+ 0.381 *Built-up</t>
  </si>
  <si>
    <t>Y = - 3262492 + 1635 X</t>
  </si>
  <si>
    <t xml:space="preserve"> Y = - 2306182 + 1151 X</t>
  </si>
  <si>
    <t>Guidance Value  =  -2268513 + 1131 *Year+ 0.040 *Built-up</t>
  </si>
  <si>
    <t>Y = - 46469 + 26.72 X</t>
  </si>
  <si>
    <t xml:space="preserve"> Y = - 4351911 + 2169 X</t>
  </si>
  <si>
    <t>Guidance Value  =  -4595503 + 2304.2 *Year- 4.00 *Built-up</t>
  </si>
  <si>
    <t>Y = - 1696946 + 852.3 X</t>
  </si>
  <si>
    <t>Y = - 6555036 + 3262 X</t>
  </si>
  <si>
    <t>Guidance Value  =  -5699106 + 2832 *Year+ 0.485 *Built-up</t>
  </si>
  <si>
    <t>Y = - 519605 + 267.8 X</t>
  </si>
  <si>
    <t>Y = - 5805479 + 2895 X</t>
  </si>
  <si>
    <t>Guidance Value  =   -6358407 + 3178 *Year- 0.90 *Built-up</t>
  </si>
  <si>
    <t>Y = - 121582 + 62.93 X</t>
  </si>
  <si>
    <t xml:space="preserve"> Y = - 9325630 + 4650 X</t>
  </si>
  <si>
    <t>Guidance Value  =   -8671224 + 4312 *Year+ 5.0 *Built-up</t>
  </si>
  <si>
    <t>Y = - 21267 + 12.40 X</t>
  </si>
  <si>
    <t xml:space="preserve"> Y = - 6518654 + 3251 X</t>
  </si>
  <si>
    <t>Guidance Value  =   -7075883 + 3569 *Year- 22.7 *Built-up</t>
  </si>
  <si>
    <t>Y = -1708849 + 854.1 X</t>
  </si>
  <si>
    <t>Y = -10188275 + 5088 X</t>
  </si>
  <si>
    <t>Guidance Value = -11229596 + 5608*Year - 0.60*Built-up</t>
  </si>
  <si>
    <t xml:space="preserve">Y = -5094 + 4.222 X </t>
  </si>
  <si>
    <t>Y = -6586121 + 3286 X</t>
  </si>
  <si>
    <t>Guidance Value= - 6647740 + 3352*Year -21*Built-up</t>
  </si>
  <si>
    <t>Y = -529436 + 269.1 X</t>
  </si>
  <si>
    <t xml:space="preserve">Y = -47012559 + 23400 X </t>
  </si>
  <si>
    <t>Guidance Value = -47319730 + 23556*Year - 0.6*Built-up</t>
  </si>
  <si>
    <t>Y = -2511 + 4.16 X</t>
  </si>
  <si>
    <t>Y = -4164256 + 2094 X</t>
  </si>
  <si>
    <t>Guidance Value = -4247368 + 2188*Year -18.02*Built-up</t>
  </si>
  <si>
    <t>Y = 1559 + 0.562 X</t>
  </si>
  <si>
    <t>Y = -14129466 + 7053 X</t>
  </si>
  <si>
    <t>Guidance Value = -14113146 + 6990*Year + 42*Built-up</t>
  </si>
  <si>
    <t>Y = -11345 + 6.997 X</t>
  </si>
  <si>
    <t>Y = -2719493 + 1371 X</t>
  </si>
  <si>
    <t>Guidance Value = -2776948 + 1397.7*Year + 1.11*Built-up</t>
  </si>
  <si>
    <t>Y = -2382 + 2.656 X</t>
  </si>
  <si>
    <t>Y = -5407273 + 2696 X</t>
  </si>
  <si>
    <t>Guidance Value = -5402852 + 2704*Year - 6.9*Built-up</t>
  </si>
  <si>
    <t>Y = 599 + 1.992 X</t>
  </si>
  <si>
    <t>Y = -13276537 + 6634 X</t>
  </si>
  <si>
    <t>Guidance Value = -13174217 + 6707*Year - 53.8*Built-up</t>
  </si>
  <si>
    <t>Y = -5866 + 4.660 X</t>
  </si>
  <si>
    <t>Y = -13332507 + 6647 X</t>
  </si>
  <si>
    <t>Guidance Value = -13345296 + 6644*Year + 5.2*Built-up</t>
  </si>
  <si>
    <t>Y = -44990 + 23.82 X</t>
  </si>
  <si>
    <t>Y = -6112787 + 3052 X</t>
  </si>
  <si>
    <t>Guidance Value = -6814645 + 3422*Year - 14.5*Built-up</t>
  </si>
  <si>
    <t>Y = -52482 + 27.58 X</t>
  </si>
  <si>
    <t xml:space="preserve">Y = -11244205 + 5612 X </t>
  </si>
  <si>
    <t>Guidance Value = -14166525 + 7145*Year - 53.8*Built-up</t>
  </si>
  <si>
    <t>Y = -19526 + 10.26 X</t>
  </si>
  <si>
    <t xml:space="preserve">Y = -6021791 + 3002 X </t>
  </si>
  <si>
    <t>Guidance Value = -6152624 + 3070*Year - 5.83*Built-up</t>
  </si>
  <si>
    <t>Y = 15283 - 5.55 X</t>
  </si>
  <si>
    <t>Guidance Value = -13669410 + 6875*Year - 24.8*Built-up</t>
  </si>
  <si>
    <t>Y = -4454 + 3.748 X</t>
  </si>
  <si>
    <t>Y = -11375592 + 5677 X</t>
  </si>
  <si>
    <t>Guidance Value = -12203904 + 6359*Year - 176.2*Built-up</t>
  </si>
  <si>
    <t>Y = -13654 + 8.12 X</t>
  </si>
  <si>
    <t>Y = -24879150 + 12391 X</t>
  </si>
  <si>
    <t>Guidance Value = -25905300 + 13002*Year - 75.4*Built-up</t>
  </si>
  <si>
    <t>Y = -394 + 1.664 X</t>
  </si>
  <si>
    <t>Y = -9571584 + 4788 X</t>
  </si>
  <si>
    <t>Guidance Value = -9649864 + 4808*Year + 12.8*Built-up</t>
  </si>
  <si>
    <t>Y = -1344 + 1.617 X</t>
  </si>
  <si>
    <t>Y = -5781192 + 2891 X</t>
  </si>
  <si>
    <t>Guidance Value = -6106778 + 3230*Year - 187.3*Built-up</t>
  </si>
  <si>
    <t>Y = -73777 + 40.86 X</t>
  </si>
  <si>
    <t xml:space="preserve">Y = -6433274 + 3206 X </t>
  </si>
  <si>
    <t>Guidance Value = -6620414 + 3309*Year - 2.43*Built-up</t>
  </si>
  <si>
    <t xml:space="preserve">Y = -20816 + 12.51 X </t>
  </si>
  <si>
    <t xml:space="preserve">Y = -24349463 + 12126 X </t>
  </si>
  <si>
    <t>Guidance Value = -24833475 + 12411*Year - 20.6*Built-up</t>
  </si>
  <si>
    <t>Y = -53869 + 29.99 X</t>
  </si>
  <si>
    <t xml:space="preserve">Guidance Value = -10743275 + 5396*Year - 9.92*Built-up </t>
  </si>
  <si>
    <t>Y = -4353 + 4.22 X</t>
  </si>
  <si>
    <t xml:space="preserve">Y = -7788767 + 3884 X </t>
  </si>
  <si>
    <t xml:space="preserve">Guidance Value = -7863155 + 3918*Year + 1.2*Built-up </t>
  </si>
  <si>
    <t xml:space="preserve">Y = -17920 + 10.91 X </t>
  </si>
  <si>
    <t>Y = -9783500 + 4899 X</t>
  </si>
  <si>
    <t>Guidance Value = -12080540 + 6072*Year - 18.1*Built-up</t>
  </si>
  <si>
    <t xml:space="preserve">Y = - 166506 + 86.07 X </t>
  </si>
  <si>
    <t xml:space="preserve">Y = -21071550 + 10516 X </t>
  </si>
  <si>
    <t>Guidance Value = -24323782 + 12195*Year - 18.9*Built-up</t>
  </si>
  <si>
    <t>Y = -14468 + 10.45 X</t>
  </si>
  <si>
    <t>Y = -6136650 + 3060 X</t>
  </si>
  <si>
    <t>Guidance Value = -6211045 + 3112*Year - 4.48*Built-up</t>
  </si>
  <si>
    <t xml:space="preserve">Y = -302682 + 153.6 X </t>
  </si>
  <si>
    <t xml:space="preserve">Y = -12165368 + 6060 X </t>
  </si>
  <si>
    <t>Guidance Value = -13923616 + 6952*Year - 5.69*Built-up</t>
  </si>
  <si>
    <t>Y = -1139 + 1.949 X</t>
  </si>
  <si>
    <t xml:space="preserve">Y = -7396430 + 3695 X </t>
  </si>
  <si>
    <t>Guidance Value = -7529118 + 4002*Year - 173.9*Built-up</t>
  </si>
  <si>
    <t>Y = 7495 - 2.106 X</t>
  </si>
  <si>
    <t>Y = -6192550 + 3088 X</t>
  </si>
  <si>
    <t>Guidance Value = -6331070 + 3135*Year + 13.6*Built-up</t>
  </si>
  <si>
    <t xml:space="preserve">Y = 9948 - 2.66 X </t>
  </si>
  <si>
    <t>Guidance Value = -11608796 + 5832*Year - 15.9*Built-up</t>
  </si>
  <si>
    <t>Y = 38239 - 17.28 X</t>
  </si>
  <si>
    <t xml:space="preserve">Y = -9610229 + 4798 X </t>
  </si>
  <si>
    <t>Guidance Value = -8787908 + 4428*Year - 22.2*Built-up</t>
  </si>
  <si>
    <t xml:space="preserve">Y = -39881 + 22.48 X </t>
  </si>
  <si>
    <t xml:space="preserve">Y = -9102033 + 4552 X </t>
  </si>
  <si>
    <t>Guidance Value = -9096601 + 4556*Year - 2.45*Built-up</t>
  </si>
  <si>
    <t xml:space="preserve">Y = -11 + 1.849 X </t>
  </si>
  <si>
    <t xml:space="preserve">Y = -11637236 + 5805 X </t>
  </si>
  <si>
    <t>Guidance Value = -11722875 + 6073*Year - 123*Built-up</t>
  </si>
  <si>
    <t>Y = 8511 - 0.52 X</t>
  </si>
  <si>
    <t>Y = -9425621 + 4706 X</t>
  </si>
  <si>
    <t>Guidance Value = -9381792 + 4734*Year - 13.6*Built-up</t>
  </si>
  <si>
    <t>Y = -123 + 1.293 X</t>
  </si>
  <si>
    <t>Y = -4844082 + 2417 X</t>
  </si>
  <si>
    <t>Guidance Value = -4883990 + 2429*Year + 6.5*Built-up</t>
  </si>
  <si>
    <t>Y = -19201 + 11.42 X</t>
  </si>
  <si>
    <t>Y = -3174955 + 1585 X</t>
  </si>
  <si>
    <t>Guidance Value = -3059239 + 1514*Year + 7*Built-up</t>
  </si>
  <si>
    <t>Y = -153895 + 78.58 X</t>
  </si>
  <si>
    <t>Y = -22031530 + 10980 X</t>
  </si>
  <si>
    <t>Guidance Value = -21165360 + 10538*Year + 5.59*Built-up</t>
  </si>
  <si>
    <t>Y = -136003 + 71.41 X</t>
  </si>
  <si>
    <t>Y = -14714612 + 7350 X</t>
  </si>
  <si>
    <t>Guidance Value = -14992467 + 7495*Year - 1.79*Built-up</t>
  </si>
  <si>
    <t>Y = -5656 + 4.87 X</t>
  </si>
  <si>
    <t>Y = -4653739 + 2336 X</t>
  </si>
  <si>
    <t>Guidance Value = -4596740 + 2296*Year + 5.72*Built-up</t>
  </si>
  <si>
    <t>Y = -16789 + 10.18 X</t>
  </si>
  <si>
    <t>Y = -3022050 + 1518 X</t>
  </si>
  <si>
    <t>Guidance Value = -2897372 + 1439*Year + 9.3*Built-up</t>
  </si>
  <si>
    <t>Y = -43783 + 24.38 X</t>
  </si>
  <si>
    <t xml:space="preserve">Y = -6657106 + 3328 X </t>
  </si>
  <si>
    <t>Guidance Value = -7674346 + 3891*Year - 22*Built-up</t>
  </si>
  <si>
    <t>Y = -12114 + 7.895 X</t>
  </si>
  <si>
    <t>Y = -8513875 + 4237 X</t>
  </si>
  <si>
    <t>Guidance Value = -8463334 + 4194*Year + 9.17*Built-up</t>
  </si>
  <si>
    <t>Y = -159937 + 82.46 X</t>
  </si>
  <si>
    <t>Y = -3491387 + 1743 X</t>
  </si>
  <si>
    <t>Guidance Value = -4315325 + 2167*Year - 4.98*Built-up</t>
  </si>
  <si>
    <t>Y = 1697 - 0.0664 X</t>
  </si>
  <si>
    <t>Y = -6486659 + 3232 X</t>
  </si>
  <si>
    <t>Guidance Value = -6210713 + 3175*Year - 102*Built-up</t>
  </si>
  <si>
    <t>Y = -14311 + 8.627 X</t>
  </si>
  <si>
    <t>Guidance Value = -14981424 + 7576*Year - 65.2*Built-up</t>
  </si>
  <si>
    <t>Y = -2512 + 2.657 X</t>
  </si>
  <si>
    <t>Y = - 3660790 + 1825 X</t>
  </si>
  <si>
    <t>Guidance Value =  -3749081 + 1907 *Year- 27.1 *Built-up</t>
  </si>
  <si>
    <t xml:space="preserve">Y = 1249 + 1.39 X </t>
  </si>
  <si>
    <t>Y = -7212844 + 3606 X</t>
  </si>
  <si>
    <t>Guidance Value = -7109529 + 3603*Year - 24*Built-up</t>
  </si>
  <si>
    <t>Y = -28383 + 16.6 X</t>
  </si>
  <si>
    <t>Y = -15773688 + 7872 X</t>
  </si>
  <si>
    <t>Guidance Value = -17226044 + 8722*Year - 51.3*Built-up</t>
  </si>
  <si>
    <t>Y = -16503 + 12.2 X</t>
  </si>
  <si>
    <t>Y = -5364117 + 2676 X</t>
  </si>
  <si>
    <t>Guidance Value = -5360087 + 2667.2*Year + 1.68*Built-up</t>
  </si>
  <si>
    <t>Y = 5396 - 1.174 X</t>
  </si>
  <si>
    <t xml:space="preserve">Y = -13014771 + 6481 X </t>
  </si>
  <si>
    <t>Guidance Value = -12683256 + 6398*Year - 53.9*Built-up</t>
  </si>
  <si>
    <t>Y = 1273 + 1.067 X</t>
  </si>
  <si>
    <t>Y = -12826026 + 6388 X</t>
  </si>
  <si>
    <t>Guidance Value = -12618379 + 6542*Year - 151*Built-up</t>
  </si>
  <si>
    <t>Y = 1042 + 1.360 X</t>
  </si>
  <si>
    <t>Y = -4528268 + 2266 X</t>
  </si>
  <si>
    <t>Guidance Value = -4558311 + 2220*Year + 32.5*Built-up</t>
  </si>
  <si>
    <t>Y = -7789 + 5.982 X</t>
  </si>
  <si>
    <t>Y = -5736287 + 2862 X</t>
  </si>
  <si>
    <t>Guidance Value = -6651802 + 3539*Year - 105.5*Built-up</t>
  </si>
  <si>
    <t xml:space="preserve">Y = - 2241 + 2.153 X </t>
  </si>
  <si>
    <t>Y = -6162178 + 3067 X</t>
  </si>
  <si>
    <t>Guidance Value = -6229520 + 3172*Year - 68.1*Built-up</t>
  </si>
  <si>
    <t>Y = -11075 + 9.07 X</t>
  </si>
  <si>
    <t>Y = -8262348 + 4124 X</t>
  </si>
  <si>
    <t>Guidance Value = -8214035 + 4053.7*Year + 12.82*Built-up</t>
  </si>
  <si>
    <t>Y = - 22192 + 13.77 X</t>
  </si>
  <si>
    <t xml:space="preserve">Y = -7195812 + 3586 X </t>
  </si>
  <si>
    <t>Guidance Value = -7117261 + 3548*Year - 0.09*Built-up</t>
  </si>
  <si>
    <t>Y = -466 + 1.355 X</t>
  </si>
  <si>
    <t>Y = -10464404 + 5212 X</t>
  </si>
  <si>
    <t>Guidance Value = -10456557 + 5011*Year + 175*Built-up</t>
  </si>
  <si>
    <t>Y = -25924 + 14.28 X</t>
  </si>
  <si>
    <t>Y = -9162611 + 4577 X</t>
  </si>
  <si>
    <t>Guidance Value = -10001247 + 5037.9*Year - 31.77*Built-up</t>
  </si>
  <si>
    <t xml:space="preserve">Y = 919.7 + 0.2409 X </t>
  </si>
  <si>
    <t>Guidance Value = -4552011 + 2524*Year - 362*Built-up</t>
  </si>
  <si>
    <t xml:space="preserve">Y = 4426 + 0.89 X </t>
  </si>
  <si>
    <t>Y = -5157635 + 2582 X</t>
  </si>
  <si>
    <t>Guidance Value = -5268673 + 2630*Year + 1.99*Built-up</t>
  </si>
  <si>
    <t>Y = 8351 - 3.059 X</t>
  </si>
  <si>
    <t xml:space="preserve">Y = -15755989 + 7841 X </t>
  </si>
  <si>
    <t>Guidance Value = -16062816 + 7956*Year + 34*Built-up</t>
  </si>
  <si>
    <t xml:space="preserve">Y = -105212 + 55.21 X </t>
  </si>
  <si>
    <t xml:space="preserve">Y = -3231564 + 1620 X </t>
  </si>
  <si>
    <t>Guidance Value = -2650088 + 1312*Year + 6.337*Built-up</t>
  </si>
  <si>
    <t xml:space="preserve">Y = -4224 + 3.762 X </t>
  </si>
  <si>
    <t xml:space="preserve">Y = -14628863 + 7301 X </t>
  </si>
  <si>
    <t>Guidance Value = -15278437 + 7842*Year - 131.6*Built-up</t>
  </si>
  <si>
    <t xml:space="preserve">Y = -15337 + 8.963 X </t>
  </si>
  <si>
    <t xml:space="preserve">Y = -13163930 + 6561 X </t>
  </si>
  <si>
    <t>Guidance Value = -13949970 + 7025*Year - 54.6*Built-up</t>
  </si>
  <si>
    <t>Y = -43811 + 23.22 X</t>
  </si>
  <si>
    <t>Y = -7149848 + 3563 X</t>
  </si>
  <si>
    <t>Guidance Value = -7047086 + 3510*Year + 1.4*Built-up</t>
  </si>
  <si>
    <t>Y = 1033 + 0.301 X</t>
  </si>
  <si>
    <t>Y = -6020039 + 3001 X</t>
  </si>
  <si>
    <t>Guidance Value = -6000104 + 2999*Year - 9.3*Built-up</t>
  </si>
  <si>
    <t>Y = -196213 + 99.13 X</t>
  </si>
  <si>
    <t>Y = -978175 + 492.9 X</t>
  </si>
  <si>
    <t>Guidance Value = -454582 + 228*Year + 2.66*Built-up</t>
  </si>
  <si>
    <t>Y = -60455 + 31.37 X</t>
  </si>
  <si>
    <t xml:space="preserve">Y = -5192892 + 2586 X </t>
  </si>
  <si>
    <t>Guidance Value = -6406185 + 3216*Year - 20.05*Built-up</t>
  </si>
  <si>
    <t>Y = -563287 + 284.6 X</t>
  </si>
  <si>
    <t>Y = -8526802 + 4260 X</t>
  </si>
  <si>
    <t>Guidance Value = -8413495 + 4202.2*Year + 0.2683*Built-up</t>
  </si>
  <si>
    <t>Y = -554 + 1.798 X</t>
  </si>
  <si>
    <t>Y = -2717068 + 1366 X</t>
  </si>
  <si>
    <t>Guidance Value = -2678854 + 1252*Year + 62.1*Built-up</t>
  </si>
  <si>
    <t>Y = -267 + 2.455 X</t>
  </si>
  <si>
    <t xml:space="preserve">Y = - 7100038 + 3539 X </t>
  </si>
  <si>
    <t>Guidance Value = -7116275 + 3622*Year - 32.3*Built-up</t>
  </si>
  <si>
    <t>Y = -499093 + 253.7 X</t>
  </si>
  <si>
    <t xml:space="preserve">Y = -8291671 + 4136 X </t>
  </si>
  <si>
    <t>Guidance Value = -5847917 + 2892*Year + 5.04*Built-up</t>
  </si>
  <si>
    <t xml:space="preserve">Y = -148408 + 77.56 X </t>
  </si>
  <si>
    <t xml:space="preserve">Y = -15792714 + 7872 X </t>
  </si>
  <si>
    <t>Guidance Value = -16748998 + 8373*Year - 6.6*Built-up</t>
  </si>
  <si>
    <t xml:space="preserve">Y = -1337 + 1.588 X </t>
  </si>
  <si>
    <t xml:space="preserve">Y = -10072555 + 5025 X </t>
  </si>
  <si>
    <t>Guidance Value = -10731468 + 5742*Year - 422*Built-up</t>
  </si>
  <si>
    <t>Y = 6740 - 1.725 X</t>
  </si>
  <si>
    <t xml:space="preserve">Y = -13193871 + 6575 X </t>
  </si>
  <si>
    <t>Guidance Value = -13135721 + 6573*Year - 16.5*Built-up</t>
  </si>
  <si>
    <t>Y = -33526 + 17.88 X</t>
  </si>
  <si>
    <t xml:space="preserve">Y = -1459998 + 751.0 X </t>
  </si>
  <si>
    <t>Guidance Value = -960917 + 485*Year + 14.94*Built-up</t>
  </si>
  <si>
    <t xml:space="preserve">Y = 3251 + 0.152 X </t>
  </si>
  <si>
    <t>Y = -7949616 + 3966 X</t>
  </si>
  <si>
    <t>Guidance Value = -7827931 + 4016*Year - 62*Built-up</t>
  </si>
  <si>
    <t>Y = -7811 + 6.033 X</t>
  </si>
  <si>
    <t>Y = - 10854676 + 5406 X</t>
  </si>
  <si>
    <t>Guidance Value = -10749322 + 5338*Year + 7.5 *Builtup</t>
  </si>
  <si>
    <t xml:space="preserve">Y = -62378 + 33.30 X </t>
  </si>
  <si>
    <t>Y = -5887380 + 2933 X</t>
  </si>
  <si>
    <t>Guidance Value = -6177054 + 3083.7*Year - 3.17*Built-up</t>
  </si>
  <si>
    <t>Y = 6922 - 1.49 X</t>
  </si>
  <si>
    <t>Y = -6657106 + 3328 X</t>
  </si>
  <si>
    <t>Guidance Value = -6663540 + 3345*Year - 7.0*Built-up</t>
  </si>
  <si>
    <t>Y = -17081 + 10.48 X</t>
  </si>
  <si>
    <t>Guidance Value = -24588435 + 12266*Year - 10.7*Built-up</t>
  </si>
  <si>
    <t xml:space="preserve">Y = -13895 + 9.71 X </t>
  </si>
  <si>
    <t>Y = -3767921 + 1889 X</t>
  </si>
  <si>
    <t>Guidance Value = -3751887 + 1872.7*Year + 2.93*Built-up</t>
  </si>
  <si>
    <t>Y = -110738 + 57.26 X</t>
  </si>
  <si>
    <t>Y = -11051962 + 5532 X</t>
  </si>
  <si>
    <t>Guidance Value = -11521638 + 5776*Year - 4.57*Built-up</t>
  </si>
  <si>
    <t>Y = 1942 + 0.595 X</t>
  </si>
  <si>
    <t xml:space="preserve">Y = -4551201 + 2281 X </t>
  </si>
  <si>
    <t>Guidance Value = -4666202 + 2324*Year + 9.0*Built-up</t>
  </si>
  <si>
    <t>Y = -434488 + 219.8 X</t>
  </si>
  <si>
    <t xml:space="preserve">Y = -18969806 + 9454 X </t>
  </si>
  <si>
    <t>Guidance Value = -17640973 + 8781*Year + 3.15*Built-up</t>
  </si>
  <si>
    <t>Y = 26501 -11.5 X</t>
  </si>
  <si>
    <t>Y = -13261108 + 6614 X</t>
  </si>
  <si>
    <t>Guidance Value = -14098648 + 6978*Year + 31.0*Built-up</t>
  </si>
  <si>
    <t xml:space="preserve">Y = -88850 + 47.45 X </t>
  </si>
  <si>
    <t>Y = -13524799 + 6751 X</t>
  </si>
  <si>
    <t>Guidance Value = -13298573 + 6629.3*Year + 2.78*Built-up</t>
  </si>
  <si>
    <t>Y = -13606 + 8.878 X</t>
  </si>
  <si>
    <t>Y = -2792502 + 1396 X</t>
  </si>
  <si>
    <t>Guidance Value = -2503133 + 1214*Year + 18.3*Built-up</t>
  </si>
  <si>
    <t>Y = -12721 + 8.63 X</t>
  </si>
  <si>
    <t>Y = -4817115 + 2404 X</t>
  </si>
  <si>
    <t>Guidance Value = -4736922 + 2346.1*Year + 7.791*Built-up</t>
  </si>
  <si>
    <t xml:space="preserve">Y = -1088208 + 560.5 X </t>
  </si>
  <si>
    <t>Y = -13167769 + 6564 X</t>
  </si>
  <si>
    <t>Guidance Value = -14373779 + 7186*Year - 1.127*Built-up</t>
  </si>
  <si>
    <t>Y = -123525 + 63.41X</t>
  </si>
  <si>
    <t>Y = - 978175 + 492.9 X</t>
  </si>
  <si>
    <t>Guidance Value =  -986512 + 497*Year- 0.07*Built-up</t>
  </si>
  <si>
    <t>Y = - 359129 + 187.4 X</t>
  </si>
  <si>
    <t>Y = - 6719904 + 3352 X</t>
  </si>
  <si>
    <t xml:space="preserve">Guidance Value  = -4537200 + 2212*Year + 6.21*Built-up </t>
  </si>
  <si>
    <t>Y= - 20672 + 13.87 X</t>
  </si>
  <si>
    <t>Y = - 5266504 + 2633 X</t>
  </si>
  <si>
    <t>Guidance Value   = -5847089 + 3014 *Year - 25.7 *Built-up</t>
  </si>
  <si>
    <t>Y=  - 5621 + 4.294 X</t>
  </si>
  <si>
    <t>Y = - 4510276 + 2251 X</t>
  </si>
  <si>
    <t>Guidance Value = -4712659 + 2383.4 *Year - 21.52 *Built-up</t>
  </si>
  <si>
    <t>Y=  - 10558 + 7.130 X</t>
  </si>
  <si>
    <t>Y = - 11350040 + 5654 X</t>
  </si>
  <si>
    <t>Guidance Value = -11665733 + 5869 *Year - 31.0 *Built-up</t>
  </si>
  <si>
    <t xml:space="preserve">Y=   - 88456 + 48.15 X </t>
  </si>
  <si>
    <t>Y = - 3413720 + 1710 X</t>
  </si>
  <si>
    <t>Guidance Value = -2844561 + 1403 *Year+ 5.92 *Built-up</t>
  </si>
  <si>
    <t xml:space="preserve"> Y = - 58520 + 31.43 X</t>
  </si>
  <si>
    <t>Y = - 9681558 + 4826 X</t>
  </si>
  <si>
    <t>Guidance Value = -10083461 + 5039 *Year - 5.9  *Built-up</t>
  </si>
  <si>
    <t>Y = - 24381 + 15.38 X</t>
  </si>
  <si>
    <t>Y = - 7155172 + 3561 X</t>
  </si>
  <si>
    <t>Guidance Value  = -7449439 + 3751 *Year - 13.39  *Built-up</t>
  </si>
  <si>
    <t>Y = - 14335 + 10.24 X</t>
  </si>
  <si>
    <t>Y = - 12405915 + 6182 X</t>
  </si>
  <si>
    <t>Guidance Value  = -12500770 + 6258 *Year- 9.4  *Built-up</t>
  </si>
  <si>
    <t>Y = - 11814 + 9.110 X</t>
  </si>
  <si>
    <t xml:space="preserve"> Y = - 5011423 + 2506 X</t>
  </si>
  <si>
    <t>Guidance Value = -5388329 + 2821*Year - 39.2  *Built-up</t>
  </si>
  <si>
    <t>Y = - 5161 + 4.79 X</t>
  </si>
  <si>
    <t>Y = - 4111134 + 2050 X</t>
  </si>
  <si>
    <t>Guidance Value  =   -4120939 + 2057.4 *Year- 1.163  *Built-up</t>
  </si>
  <si>
    <t>Y = - 607374 + 311.6 X</t>
  </si>
  <si>
    <t>Y = - 4427335 + 2209 X</t>
  </si>
  <si>
    <t xml:space="preserve">Guidance Value  =   -4910774 + 2459 *Year- 0.97 *Built-up </t>
  </si>
  <si>
    <t>Y = - 3922775 + 1968 X</t>
  </si>
  <si>
    <t>Y = - 4358425 + 2173 X</t>
  </si>
  <si>
    <t>Guidance Value  =   -7597431 + 3797 *Year- 0.808  *Built-up</t>
  </si>
  <si>
    <t>Y = - 151104 + 81.43 X</t>
  </si>
  <si>
    <t>Y = - 7059966 + 3516 X</t>
  </si>
  <si>
    <t>Guidance Value  =   -7364447 + 3684 *Year- 2.62  *Built-up</t>
  </si>
  <si>
    <t>Y = - 66248 + 36.71 X</t>
  </si>
  <si>
    <t>Y = - 3734883 + 1864 X</t>
  </si>
  <si>
    <t>Guidance Value  =  -3589746 + 1780 *Year+ 3.13  *Built-up</t>
  </si>
  <si>
    <t>Y = - 56648 + 32.40 X</t>
  </si>
  <si>
    <t>Y = - 10724078 + 5352 X</t>
  </si>
  <si>
    <t>Guidance Value  =  -11798977 + 5961 *Year- 17.8 *Built-up</t>
  </si>
  <si>
    <t>Y = - 55877 + 31.47 X</t>
  </si>
  <si>
    <t>Y = - 12199548 + 6081 X</t>
  </si>
  <si>
    <t>Guidance Value  =  -10286146 + 5000*Year + 35.17 *Built-up</t>
  </si>
  <si>
    <t>Y = - 723 + 1.835 X</t>
  </si>
  <si>
    <t>Y = - 5903546 + 2947 X</t>
  </si>
  <si>
    <t>Guidance Value  =  -5859286 + 2984 *Year- 39.5 *Built-up</t>
  </si>
  <si>
    <t xml:space="preserve"> Y = - 49264 + 28.94 X</t>
  </si>
  <si>
    <t>Y = - 4069264 + 2028 X</t>
  </si>
  <si>
    <t>Guidance Value  =  -4161620 + 2073.9 *Year- 0.106 *Built-up</t>
  </si>
  <si>
    <t xml:space="preserve"> Y = - 158704 + 91.60 X</t>
  </si>
  <si>
    <t>Y = - 15888923 + 7920 X</t>
  </si>
  <si>
    <t>Guidance Value  =  -15698062 + 7815*Year + 0.82 *Built-up</t>
  </si>
  <si>
    <t xml:space="preserve"> Y = - 89627 + 47.11 X</t>
  </si>
  <si>
    <t>Y = - 6388174 + 3193 X</t>
  </si>
  <si>
    <t xml:space="preserve">Guidance Value  =  -5691225 + 2824 *Year+ 8.7 *Built-up </t>
  </si>
  <si>
    <t xml:space="preserve"> Y = - 5695 + 5.029 X</t>
  </si>
  <si>
    <t>Y = - 5864114 + 2924 X</t>
  </si>
  <si>
    <t>Guidance Value  =  -6836780 + 3811 *Year- 183.4 *Built-up</t>
  </si>
  <si>
    <t xml:space="preserve"> Y = - 240344 + 122.6 X</t>
  </si>
  <si>
    <t>Y = - 4591906 + 2305 X</t>
  </si>
  <si>
    <t>Guidance Value  =  -3478650 + 1736 *Year+ 4.98 *Built-up</t>
  </si>
  <si>
    <t xml:space="preserve"> Y = - 244547 + 127.5 X</t>
  </si>
  <si>
    <t>Y = - 14956945 + 7463 X</t>
  </si>
  <si>
    <t>Guidance Value  =  -15595173 + 7798 *Year- 2.97 *Built-up</t>
  </si>
  <si>
    <t xml:space="preserve">  Y = - 92572 + 48.28 X</t>
  </si>
  <si>
    <t>Y = - 8716187 + 4351 X</t>
  </si>
  <si>
    <t>Guidance Value  =  -9357541 + 4684 *Year- 6.42 *Built-up</t>
  </si>
  <si>
    <t xml:space="preserve"> Y = - 7677 + 6.309 X</t>
  </si>
  <si>
    <t>Y = - 25046099 + 12463 X</t>
  </si>
  <si>
    <t>Guidance Value  =  -23222524 + 10932 *Year+ 250.2 *Built-up</t>
  </si>
  <si>
    <t>Y = - 170511 + 91.29 X</t>
  </si>
  <si>
    <t xml:space="preserve"> Y = - 6204858 + 3089 X</t>
  </si>
  <si>
    <t>Guidance Value  =   -6076909 + 3024.3 *Year+ 0.239 *Built-up</t>
  </si>
  <si>
    <t>Y = - 1441341 + 731.1 X</t>
  </si>
  <si>
    <t>Y = - 4700472 + 2341 X</t>
  </si>
  <si>
    <t>Guidance Value  =   -4848148 + 2415.8 *Year- 0.0985*Built-up</t>
  </si>
  <si>
    <t xml:space="preserve"> Y = - 84529 + 45.13 X</t>
  </si>
  <si>
    <t xml:space="preserve"> Y = - 6999140 + 3496 X</t>
  </si>
  <si>
    <t>Guidance Value  =   -7209243 + 3604 *Year- 1.31 *Built-up</t>
  </si>
  <si>
    <t xml:space="preserve"> Y = - 95168 + 48.64 X</t>
  </si>
  <si>
    <t>Y = - 5741538 + 2872 X</t>
  </si>
  <si>
    <t xml:space="preserve">Guidance Value  =   -6842607 + 3434 *Year- 11.4*Built-up </t>
  </si>
  <si>
    <t>Y = - 4065 + 3.744 X</t>
  </si>
  <si>
    <t>Y = - 3805833 + 1904 X</t>
  </si>
  <si>
    <t>Guidance Value  =   -3914825 + 2030 *Year- 41.2 *Built-up</t>
  </si>
  <si>
    <t>Y = - 741694 + 379.6 X</t>
  </si>
  <si>
    <t>Y = - 5493297 + 2739 X</t>
  </si>
  <si>
    <t>Guidance Value  =  -5407046 + 2697 *Year- 0.02  *Built-up</t>
  </si>
  <si>
    <t xml:space="preserve"> Y = - 3098556 + 1551 X</t>
  </si>
  <si>
    <t xml:space="preserve"> Y = - 4519424 + 2255 X</t>
  </si>
  <si>
    <t>Guidance Value  =   1251722 - 634 *Year+ 1.848  *Built-up</t>
  </si>
  <si>
    <t>Y = - 3270871 + 1643 X</t>
  </si>
  <si>
    <t xml:space="preserve"> Y = - 6211966 + 3097 X</t>
  </si>
  <si>
    <t>Guidance Value  =   -3975909 + 1974 *Year+ 0.686  *Built-up</t>
  </si>
  <si>
    <t xml:space="preserve"> Y = - 2049425 + 1030 X</t>
  </si>
  <si>
    <t xml:space="preserve"> Y = - 4111134 + 2050 X</t>
  </si>
  <si>
    <t xml:space="preserve">Guidance Value  =   -3899522 + 1944 *Year+ 0.105*Built-up </t>
  </si>
  <si>
    <t xml:space="preserve">  Y = - 3562081 + 1802 X</t>
  </si>
  <si>
    <t>Y = - 1902260 + 948.3 X</t>
  </si>
  <si>
    <t xml:space="preserve">Guidance Value  =  -2077371 + 1037 *Year- 0.051 *Built-up </t>
  </si>
  <si>
    <t xml:space="preserve"> Y = - 1170022 + 601.0 X</t>
  </si>
  <si>
    <t xml:space="preserve"> Y = - 7920466 + 3946 X</t>
  </si>
  <si>
    <t xml:space="preserve">Guidance Value  =  -7795684 + 3881 *Year+ 0.14 *Built-up </t>
  </si>
  <si>
    <t xml:space="preserve"> Y = - 1301649 + 653.4 X</t>
  </si>
  <si>
    <t xml:space="preserve"> Y = - 14348353 + 7152 X</t>
  </si>
  <si>
    <t xml:space="preserve">Guidance Value  =  -18092862 + 9031*Year- 2.86*Built-up </t>
  </si>
  <si>
    <t>Y = - 103381 + 54.42 X</t>
  </si>
  <si>
    <t xml:space="preserve"> Y = - 7902175 + 3950 X</t>
  </si>
  <si>
    <t xml:space="preserve">Guidance Value  =  -6893297 + 3417 *Year+ 10.34*Built-up </t>
  </si>
  <si>
    <t xml:space="preserve"> Y = - 328646 + 168.3 X</t>
  </si>
  <si>
    <t>Y = - 7264698 + 3622 X</t>
  </si>
  <si>
    <t xml:space="preserve">Guidance Value  =  -2593300 + 1228 *Year+ 14.3 *Built-up </t>
  </si>
  <si>
    <t>Y = - 8704362 + 4336 X</t>
  </si>
  <si>
    <t>Y = - 7261711 + 3616 X</t>
  </si>
  <si>
    <t xml:space="preserve">Guidance Value  =   -7611767 + 3790 *Year- 0.033 *Built-up </t>
  </si>
  <si>
    <t xml:space="preserve"> Y = - 12542800 + 6247 X</t>
  </si>
  <si>
    <t>Y = - 6543969 + 3261 X</t>
  </si>
  <si>
    <t>Guidance Value  =   -6176555 + 3078 *Year+ 0.0285 *Built-up</t>
  </si>
  <si>
    <t xml:space="preserve"> Y = - 1221125 + 620.0 X</t>
  </si>
  <si>
    <t>Y = - 6758462 + 3368 X</t>
  </si>
  <si>
    <t>Guidance Value  =   -7360702 + 3675 *Year- 0.545 *Built-up</t>
  </si>
  <si>
    <t xml:space="preserve"> Y = - 1282044 + 643.4 X</t>
  </si>
  <si>
    <t>Y = - 4828226 + 2407 X</t>
  </si>
  <si>
    <t>Guidance Value  =   -5142624 + 2565 *Year- 0.246 *Built-up</t>
  </si>
  <si>
    <t>Y = - 244910 + 124.9 X</t>
  </si>
  <si>
    <t>Y = - 4563499 + 2277 X</t>
  </si>
  <si>
    <t>Guidance Value  =   -4813225 + 2406 *Year- 1.29 *Built-up</t>
  </si>
  <si>
    <t xml:space="preserve"> Y = - 2006424 + 1012 X</t>
  </si>
  <si>
    <t>Y = - 7647950 + 3814 X</t>
  </si>
  <si>
    <t>Guidance Value  =   -10947697 + 5479 *Year- 1.67*Built-up</t>
  </si>
  <si>
    <t>Y = - 2133594 + 1070 X</t>
  </si>
  <si>
    <t xml:space="preserve"> Y = - 6219271 + 3104 X</t>
  </si>
  <si>
    <t>Guidance Value  =    -7771869 + 3882 *Year- 0.710*Built-up</t>
  </si>
  <si>
    <t>Y = - 2902736 + 1450 X</t>
  </si>
  <si>
    <t xml:space="preserve"> Y = - 6011219 + 2996 X</t>
  </si>
  <si>
    <t xml:space="preserve">Guidance Value  =    -12896562 + 6436 *Year- 2.35*Built-up    </t>
  </si>
  <si>
    <t xml:space="preserve"> Y = - 2276 + 2.880 X</t>
  </si>
  <si>
    <t xml:space="preserve"> Y = - 5128529 + 2567 X</t>
  </si>
  <si>
    <t>Guidance Value  =    -5085293 + 2532 *Year+ 7.76 *Built-up</t>
  </si>
  <si>
    <t>Y = 878 + 1.883 X</t>
  </si>
  <si>
    <t xml:space="preserve"> Y = - 4097111 + 2047 X</t>
  </si>
  <si>
    <t>Guidance Value  =    -3973676 + 2087 *Year- 43.5 *Built-up</t>
  </si>
  <si>
    <t xml:space="preserve"> Y = - 1954 + 4.67 X</t>
  </si>
  <si>
    <t>Y = - 6932280 + 3466 X</t>
  </si>
  <si>
    <t>Guidance Value  =    -6877260 + 3482 *Year - 11.6 *Built-up</t>
  </si>
  <si>
    <t>Y = - 1323325 + 667.2 X</t>
  </si>
  <si>
    <t xml:space="preserve"> Y = - 6269931 + 3125 X</t>
  </si>
  <si>
    <t>Guidance Value  =      -5634555 + 2803 *Year+ 0.56 *Built-up</t>
  </si>
  <si>
    <t>Y = - 17736 + 11.65 X</t>
  </si>
  <si>
    <t xml:space="preserve">  Y = - 3218155 + 1612 X</t>
  </si>
  <si>
    <t>Guidance Value  =  -3563828 + 1830 *Year- 16.29 *Built-up</t>
  </si>
  <si>
    <t>Y = - 38733 + 22.73 X</t>
  </si>
  <si>
    <t>Y = - 9425621 + 4706 X</t>
  </si>
  <si>
    <t>Guidance Value  =   -9387128 + 4677*Year+ 2.85 *Built-up</t>
  </si>
  <si>
    <t xml:space="preserve">   Y = - 15311 + 9.851 X</t>
  </si>
  <si>
    <t xml:space="preserve"> Y = - 7384558 + 3680 X</t>
  </si>
  <si>
    <t>Guidance Value  =   -7653580 + 3858.8 *Year - 20.04 *Built-up</t>
  </si>
  <si>
    <t xml:space="preserve"> Y = - 13474 + 8.88 X</t>
  </si>
  <si>
    <t>Y = - 4817115 + 2404 X</t>
  </si>
  <si>
    <t>Guidance Value  =    -4738677 + 2349.1*Year + 7.23 *Built-up</t>
  </si>
  <si>
    <t>Y = 2578 + 1.125 X</t>
  </si>
  <si>
    <t>Y = - 8729740 + 4360 X</t>
  </si>
  <si>
    <t>Guidance Value  =    -8538355 + 4359 *Year - 39.0 *Built-up</t>
  </si>
  <si>
    <t xml:space="preserve"> Y = - 145824 + 79.13 X</t>
  </si>
  <si>
    <t xml:space="preserve"> Y = - 8721357 + 4342 X</t>
  </si>
  <si>
    <t>Guidance Value  =    -7234052 + 3534 *Year+ 10.39*Built-up</t>
  </si>
  <si>
    <t>Y = - 5243 + 6.33 X</t>
  </si>
  <si>
    <t>Y = - 9930743 + 4952 X</t>
  </si>
  <si>
    <t>Guidance Value  =    -10019834 + 5018*Year - 5.80 *Built-up</t>
  </si>
  <si>
    <t xml:space="preserve"> Y = - 43598 + 25.01 X</t>
  </si>
  <si>
    <t xml:space="preserve"> Y = - 10558924 + 5260 X</t>
  </si>
  <si>
    <t>Guidance Value  =     -11199178 + 5627 *Year- 14.73 *Built-up</t>
  </si>
  <si>
    <t xml:space="preserve"> Y = - 224489 + 116.7 X</t>
  </si>
  <si>
    <t>Guidance Value   =     -7427425 + 3703 *Year- 0.360 *Built-up</t>
  </si>
  <si>
    <t xml:space="preserve"> Y = - 21584 + 13.47 X</t>
  </si>
  <si>
    <t>Y = - 7254039 + 3621 X</t>
  </si>
  <si>
    <t>Guidance Value   =    -6853496 + 3369 *Year+ 19.3 *Built-up</t>
  </si>
  <si>
    <t>Y = - 103092 + 54.42 X</t>
  </si>
  <si>
    <t xml:space="preserve"> Y = - 7179155 + 3584 X</t>
  </si>
  <si>
    <t>Guidance Value   =    -7445927 + 3727 *Year - 3.19 *Built-up</t>
  </si>
  <si>
    <t>Y = - 2013689 + 1010 X</t>
  </si>
  <si>
    <t>Y = - 4504121 + 2244 X</t>
  </si>
  <si>
    <t>Guidance Value   =     -5719120 + 2853 *Year- 0.594 *Built-up</t>
  </si>
  <si>
    <t>Y = - 782893 + 397.9 X</t>
  </si>
  <si>
    <t xml:space="preserve"> Y = - 5859088 + 2917 X</t>
  </si>
  <si>
    <t>Guidance Value   =     -6793710 + 3393 *Year- 1.25 *Built-up</t>
  </si>
  <si>
    <t>Y = - 8013 + 6.545 X</t>
  </si>
  <si>
    <t>Y = - 13351674 + 6645 X</t>
  </si>
  <si>
    <t>Guidance Value   =     -12716737 + 6115 *Year+ 83.6 *Built-up</t>
  </si>
  <si>
    <t xml:space="preserve">  Y = - 22958 + 14.70 X</t>
  </si>
  <si>
    <t xml:space="preserve"> Y = - 7615646 + 3793 X</t>
  </si>
  <si>
    <t>Guidance Value  =    -7586377 + 3775 *Year+ 1.2 *Built-up</t>
  </si>
  <si>
    <t xml:space="preserve"> Y = - 4777425 + 2383 X</t>
  </si>
  <si>
    <t xml:space="preserve"> Y = - 1650361 + 821.9 X</t>
  </si>
  <si>
    <t>Guidance Value  =   -684536 + 340.0 *Year + 0.2034 *Built-up</t>
  </si>
  <si>
    <t>Y = - 4417507 + 2229 X</t>
  </si>
  <si>
    <t>Y = - 1650361 + 821.9 X</t>
  </si>
  <si>
    <t xml:space="preserve">Guidance Value   =    -867878 + 427*Year+ 0.1784*Built-up </t>
  </si>
  <si>
    <t>Y = - 1147522 + 609.0 X</t>
  </si>
  <si>
    <t>Guidance Value   =    -5005596 + 2514 *Year - 0.503 *Built-up</t>
  </si>
  <si>
    <t>Y = - 6349051 + 3202 X</t>
  </si>
  <si>
    <t>Guidance Value   =    -5561453 + 2779 *Year- 0.178 *Built-up</t>
  </si>
  <si>
    <t xml:space="preserve"> Y = - 6338704 + 3189 X</t>
  </si>
  <si>
    <t>Guidance Value   =    -6793912 + 3398 *Year - 0.373 *Built-up</t>
  </si>
  <si>
    <t xml:space="preserve"> Y = - 10688893 + 5340 X</t>
  </si>
  <si>
    <t>Guidance Value   =    -2270720 + 1131 *Year + 0.1725 *Built-up</t>
  </si>
  <si>
    <t xml:space="preserve"> Y = - 10013826 + 5005 X</t>
  </si>
  <si>
    <t>Guidance Value  =   -4325866 + 2157*Year - 0.0211 *Built-up</t>
  </si>
  <si>
    <t>Y = - 10764933 + 5363 X</t>
  </si>
  <si>
    <t>Guidance Value   =   -4447561 + 2218*Year- 0.0309 *Built-up</t>
  </si>
  <si>
    <t xml:space="preserve">  Y = - 5439159 + 2712 X</t>
  </si>
  <si>
    <t>Y = - 5491982 + 2733 X</t>
  </si>
  <si>
    <t>Guidance Value   =   -6655911 + 3313 *Year- 0.205 *Built-up</t>
  </si>
  <si>
    <t>Y = - 10371063 + 5172 X</t>
  </si>
  <si>
    <t>Guidance Value   =  -6275886 + 3124*Year- 0.071 *Built-up</t>
  </si>
  <si>
    <t>Y = - 1261213 + 629.7 X</t>
  </si>
  <si>
    <t>Guidance Value  =  -5546451 + 2760 *Year- 0.006 *Built-up</t>
  </si>
  <si>
    <t>Y = - 10114580 + 5027 X</t>
  </si>
  <si>
    <t>Y = - 1451680 + 723.5 X</t>
  </si>
  <si>
    <t>Guidance Value  =   -1461742 + 729*Year - 0.00013  *Built-up</t>
  </si>
  <si>
    <t xml:space="preserve"> Y = - 7268131 + 3616 X</t>
  </si>
  <si>
    <t>Guidance Value  =   -1632742 + 814 *Year - 0.0254  *Built-up</t>
  </si>
  <si>
    <t xml:space="preserve"> Y = - 4821202 + 2404 X</t>
  </si>
  <si>
    <t>Y = - 2360213 + 1177 X</t>
  </si>
  <si>
    <t>Guidance Value  =   -2489289 + 1241*Year - 0.0183  *Built-up</t>
  </si>
  <si>
    <t xml:space="preserve">  Y = - 10062123 + 5015 X</t>
  </si>
  <si>
    <t>Guidance Value  =   -2370160 + 1182 *Year + 0.0031  *Built-up</t>
  </si>
  <si>
    <t xml:space="preserve"> Y = - 1644276 + 861 X</t>
  </si>
  <si>
    <t>Guidance Value  =   -2415261 + 1204.5 *Year - 0.00849  *Built-up</t>
  </si>
  <si>
    <t xml:space="preserve"> Y = - 14402159 + 7181 X</t>
  </si>
  <si>
    <t>Y = - 1899217 + 949.2 X</t>
  </si>
  <si>
    <t>Guidance Value  =   -1937955 + 968 *Year - 0.0020  *Built-up</t>
  </si>
  <si>
    <t>Y = - 18761094 + 9334 X</t>
  </si>
  <si>
    <t>Guidance Value  =   -2157535 + 1078 *Year - 0.0133  *Built-up</t>
  </si>
  <si>
    <t>Y = - 10907056 + 5441 X</t>
  </si>
  <si>
    <t>Y = - 4553097 + 2271 X</t>
  </si>
  <si>
    <t>Guidance Value  =   -5582345 + 2784 *Year - 0.0906  *Built-up</t>
  </si>
  <si>
    <t>Y = - 13230521 + 6580 X</t>
  </si>
  <si>
    <t>Guidance Value  =   -4849606 + 2418 *Year- 0.0193  *Built-up</t>
  </si>
  <si>
    <t xml:space="preserve"> Y = - 10808603 + 5392 X</t>
  </si>
  <si>
    <t>Guidance Value  =  -4879213 + 2433 *Year - 0.0264  *Built-up</t>
  </si>
  <si>
    <t>Y = - 3360147 + 1692 X</t>
  </si>
  <si>
    <t>Guidance Value  =   -5450798 + 2723*Year- 0.255  *Built-up</t>
  </si>
  <si>
    <t>Y = - 137490+ 69.03 * X</t>
  </si>
  <si>
    <t>Y = -7100723 + 3540 X</t>
  </si>
  <si>
    <t>Guidance Value  =    -7524716 + 3753 *Year -3.46 *Built-up</t>
  </si>
  <si>
    <t>Y = - 1476355+ 769.2 * X</t>
  </si>
  <si>
    <t>Guidance Value  =    -6752530 + 3360 *Year +0.201 *Built-up</t>
  </si>
  <si>
    <t>Y = - 5506613+ 2783 * X</t>
  </si>
  <si>
    <t>Guidance Value  =    -6567126 + 3271 *Year +0.088 *Built-up</t>
  </si>
  <si>
    <t>Y = - 4585922+ 2316 * X</t>
  </si>
  <si>
    <t>Guidance Value  =    -5622925 + 2794 *Year +0.311 *Built-up</t>
  </si>
  <si>
    <t>Y = - 1414831+ 724.6 * X</t>
  </si>
  <si>
    <t>Y = -7264698 + 3622 X</t>
  </si>
  <si>
    <t>Guidance Value  =    -2763434 + 1389.4 *Year -0.075 *Built-up</t>
  </si>
  <si>
    <t>Y = - 3051913+ 1552 * X</t>
  </si>
  <si>
    <t>Guidance Value  =    -9659780 + 4840 *Year -0.771 *Built-up</t>
  </si>
  <si>
    <t>Y = - 11566655+ 5756 * X</t>
  </si>
  <si>
    <t>Y = -2077069 + 1035 X</t>
  </si>
  <si>
    <t>Guidance Value  =    -2120364 + 1057 *Year -0.0061 *Built-up</t>
  </si>
  <si>
    <t>Guidance Value  =    -2113065 + 1053 *Year -0.006 *Built-up</t>
  </si>
  <si>
    <t>Y = - 14784588+ 7349 * X</t>
  </si>
  <si>
    <t>Guidance Value  =    -2031720 + 1013 *Year +0.0010 *Built-up</t>
  </si>
  <si>
    <t>Y = - 3386901+ 1688 * X</t>
  </si>
  <si>
    <t>Y = -5129670 + 2553 X</t>
  </si>
  <si>
    <t>Guidance Value  =    -5063416 + 2520.6 *Year -0.0064 *Built-up</t>
  </si>
  <si>
    <t>Y = - 3260811+ 1629 * X</t>
  </si>
  <si>
    <t>Guidance Value  =    -4914954 + 2446.5 *Year +0.0388 *Built-up</t>
  </si>
  <si>
    <t>Y = - 9059684+ 4506 * X</t>
  </si>
  <si>
    <t>Guidance Value  =    -5061826 + 2519.8 *Year -0.0022 *Built-up</t>
  </si>
  <si>
    <t>Y = - 100552+ 57.81 * X</t>
  </si>
  <si>
    <t>Y = -7218602 + 3600 X</t>
  </si>
  <si>
    <t>Guidance Value  =    -7161190 + 3567.2 *Year +0.543 *Built-up</t>
  </si>
  <si>
    <t>Y = - 4982953+ 2520 * X</t>
  </si>
  <si>
    <t>Guidance Value  =    -6708296 + 3342 *Year +0.1018 *Built-up</t>
  </si>
  <si>
    <t>Y = - 6528103+ 3250 * X</t>
  </si>
  <si>
    <t>Guidance Value  =    -7132193 + 3557 *Year +0.0128 *Built-up</t>
  </si>
  <si>
    <t>Y = - 916610+ 458.4 * X</t>
  </si>
  <si>
    <t>Guidance Value  =    -7186606 + 3584.0 *Year +0.0318 *Built-up</t>
  </si>
  <si>
    <t>Y = - 3565020 + 1803 * X</t>
  </si>
  <si>
    <t>Guidance Value  =    -7016887 + 3498 *Year +0.056 *Built-up</t>
  </si>
  <si>
    <t>Y = - 204256 + 118.5 * X</t>
  </si>
  <si>
    <t>Guidance Value  =    -7163761 + 3568.4 *Year +0.255 *Built-up</t>
  </si>
  <si>
    <t xml:space="preserve">  Y = - 9957240 + 4967 * X</t>
  </si>
  <si>
    <t>Y = -4894271 + 2443 X</t>
  </si>
  <si>
    <t>Guidance Value  =    -4222888 + 2108 *Year +0.069 *Built-up</t>
  </si>
  <si>
    <t xml:space="preserve">  Y = - 11730586 + 5862 * X</t>
  </si>
  <si>
    <t>Guidance Value  =    -5046863 + 2519 *Year -0.012 *Built-up</t>
  </si>
  <si>
    <t xml:space="preserve">  Y = - 795648 + 407.4 * X</t>
  </si>
  <si>
    <t>Y = -8503342 + 4237 X</t>
  </si>
  <si>
    <t>Guidance Value  =    -8768967 + 4371 *Year -0.234 *Built-up</t>
  </si>
  <si>
    <t xml:space="preserve">  Y = - 10787394 + 5389 * X</t>
  </si>
  <si>
    <t>Y = -7688337 + 3833 X</t>
  </si>
  <si>
    <t>Guidance Value  =    -6086131 + 3032 *Year +0.157 *Built-up</t>
  </si>
  <si>
    <t xml:space="preserve">  Y = - 4874455 + 2445 * X</t>
  </si>
  <si>
    <t>Y = -10113256 + 5038 X</t>
  </si>
  <si>
    <t>Guidance Value  =    -9831936 + 4896 *Year +0.074 *Built-up</t>
  </si>
  <si>
    <t xml:space="preserve">  Y = - 4938122 + 2484 * X</t>
  </si>
  <si>
    <t>Y = -7708672 + 3840 X</t>
  </si>
  <si>
    <t>Guidance Value  =    -10034482 + 5009 *Year -0.463 *Built-up</t>
  </si>
  <si>
    <t xml:space="preserve">  Y = - 84604 + 66.8 * X</t>
  </si>
  <si>
    <t>Y = -5840928 + 2912 X</t>
  </si>
  <si>
    <t>Guidance Value  =    -6022127 + 3025 *Year -0.933 *Built-up</t>
  </si>
  <si>
    <t xml:space="preserve">  Y = - 4647461 + 2367 X</t>
  </si>
  <si>
    <t>Y = - 6294793 + 3138 X</t>
  </si>
  <si>
    <t>Guidance Value  =    -6122362 + 3049 *Year+0.052 *Built-up</t>
  </si>
  <si>
    <t xml:space="preserve">  Y = - 12329327 + 6206 X</t>
  </si>
  <si>
    <t>Y = - 5387017 + 2685 X</t>
  </si>
  <si>
    <t>Guidance Value  =    -5968770 + 2979 *Year-0.0526 *Built-up</t>
  </si>
  <si>
    <t>BENGALURU RURAL</t>
  </si>
  <si>
    <t xml:space="preserve">Built-up </t>
  </si>
  <si>
    <t xml:space="preserve"> Y = - 6089473 + 3038 X</t>
  </si>
  <si>
    <t xml:space="preserve">  Y = - 538348 + 270.9 X</t>
  </si>
  <si>
    <t>Guidance Value =  -848491 + 425.7 *Year- 0.0526*Built-up</t>
  </si>
  <si>
    <t>Y = - 5090262 + 2541 X</t>
  </si>
  <si>
    <t xml:space="preserve"> Y = - 1674893 + 835.1 X</t>
  </si>
  <si>
    <t xml:space="preserve">Guidance Value =   -1777849 + 886.4 *Year- 0.0182 *Built-up </t>
  </si>
  <si>
    <t>Y = - 11935278 + 5960 X</t>
  </si>
  <si>
    <t>Y = - 1290979 + 644.3 X</t>
  </si>
  <si>
    <t xml:space="preserve">Guidance Value =    -1409045 + 703 *Year- 0.0094 *Built-up </t>
  </si>
  <si>
    <t>Y = - 5909021 + 2955 X</t>
  </si>
  <si>
    <t xml:space="preserve"> Y = - 1076125 + 536.3 X</t>
  </si>
  <si>
    <t xml:space="preserve">Guidance Value =    -973274 + 484.9 *Year+ 0.0178 *Built-up </t>
  </si>
  <si>
    <t xml:space="preserve"> Y = - 4808577 + 2397 X</t>
  </si>
  <si>
    <t>Y = - 1874339 + 934.7 X</t>
  </si>
  <si>
    <t xml:space="preserve">Guidance Value =     -1657007 + 826 *Year+ 0.0458 *Built-up </t>
  </si>
  <si>
    <t>Y = - 14483883 + 7203 X</t>
  </si>
  <si>
    <t xml:space="preserve">  Y = - 1802423 + 897.7 X</t>
  </si>
  <si>
    <t xml:space="preserve">Guidance Value=  -1752298 + 872.8 *Year+ 0.00322 *Built-up </t>
  </si>
  <si>
    <t>Y = - 1543375 + 771.4 X</t>
  </si>
  <si>
    <t>Y = - 3611830 + 1797 X</t>
  </si>
  <si>
    <t xml:space="preserve">Guidance Value =  -3850363 + 1916 *Year - 0.159 *Built-up </t>
  </si>
  <si>
    <t>Y = - 9489275 + 4747 X</t>
  </si>
  <si>
    <t>Y = - 2392318 + 1191 X</t>
  </si>
  <si>
    <t xml:space="preserve">Guidance Value=  -2223308 + 1106.4 *Year+ 0.01801*Built-up  </t>
  </si>
  <si>
    <t>Y = - 8108064 + 4036 X</t>
  </si>
  <si>
    <t xml:space="preserve"> Y = - 1769464 + 881.6 X</t>
  </si>
  <si>
    <t xml:space="preserve">Guidance Value=   -1674368 + 834.3 *Year+ 0.0118 *Built-up </t>
  </si>
  <si>
    <t>Y = - 532073 + 266.5 X</t>
  </si>
  <si>
    <t xml:space="preserve"> Y = - 273912 + 136.8 X</t>
  </si>
  <si>
    <t xml:space="preserve">Guidance Value=   -399897 + 200.0 *Year-0.2561 *Built-up </t>
  </si>
  <si>
    <t>Y = - 1323120 + 662.9 X</t>
  </si>
  <si>
    <t xml:space="preserve"> Y = - 427463 + 213.7 X</t>
  </si>
  <si>
    <t xml:space="preserve">Guidance Value=   -602662 + 301 *Year-0.132 *Built-up </t>
  </si>
  <si>
    <t>Y = - 2665072 + 1350 X</t>
  </si>
  <si>
    <t xml:space="preserve"> Y = - 235667 + 118.3 X</t>
  </si>
  <si>
    <t xml:space="preserve">Guidance Value=   -215291 + 107.9 *Year+0.0086 *Built-up </t>
  </si>
  <si>
    <t>Y = - 759234 + 380.6 X</t>
  </si>
  <si>
    <t xml:space="preserve"> Y = - 219274 + 110.2 X</t>
  </si>
  <si>
    <t xml:space="preserve">Guidance Value=   -230700 + 115.84 *Year-0.0028 *Built-up </t>
  </si>
  <si>
    <t>Y = - 1818622 + 907.1 X</t>
  </si>
  <si>
    <t xml:space="preserve"> Y = - 180237 + 90.83 X</t>
  </si>
  <si>
    <t xml:space="preserve">Guidance Value=   -189553 + 95.47 *Year-0.0044 *Built-up </t>
  </si>
  <si>
    <t xml:space="preserve">Y = -1005507 + 502 X </t>
  </si>
  <si>
    <t>Y = -1139192 + 570.8 X</t>
  </si>
  <si>
    <t>Guidance Value =  -1055146 + 529*Year + 0.089*Built-up</t>
  </si>
  <si>
    <t xml:space="preserve">Y = -6879493 + 3443 X </t>
  </si>
  <si>
    <t>Guidance Value = -1165905 + 584.1*Year - 0.0032*Built-up</t>
  </si>
  <si>
    <t>Y = -650289 + 330.2 X</t>
  </si>
  <si>
    <t xml:space="preserve">Y = -412122 + 207.8 X </t>
  </si>
  <si>
    <t>Guidance Value = -405844 + 204.5*Year + 0.0217*Built-up</t>
  </si>
  <si>
    <t>Y = - 1658054 + 826.5 X</t>
  </si>
  <si>
    <t>Guidance Value = -432623 + 218.0 *Year - 0.0076* Built-up</t>
  </si>
  <si>
    <t xml:space="preserve">Y = -2659742 + 1354 X </t>
  </si>
  <si>
    <t>Y = -775657 + 389.3 X</t>
  </si>
  <si>
    <t>Guidance Value = -772252 + 387.5 *Year + 0.0037* Built-up</t>
  </si>
  <si>
    <t>ward</t>
  </si>
  <si>
    <t>a</t>
  </si>
  <si>
    <t>b</t>
  </si>
  <si>
    <t>x</t>
  </si>
  <si>
    <t>y</t>
  </si>
  <si>
    <t>z</t>
  </si>
  <si>
    <t>hobli</t>
  </si>
  <si>
    <t xml:space="preserve">Krishnarajapuram </t>
  </si>
  <si>
    <t xml:space="preserve">Krishnarajapuram 1 </t>
  </si>
  <si>
    <t>Krishnarajapuram 2</t>
  </si>
  <si>
    <t>Krishnarajapuram 3</t>
  </si>
  <si>
    <t>Hosakote Kasaba</t>
  </si>
  <si>
    <t>Devanahalli Kasaba</t>
  </si>
  <si>
    <t>Doddaballapur Kasaba</t>
  </si>
  <si>
    <t>Nelamangala Kasaba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</si>
</sst>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  <scheme val="minor"/>
    </font>
    <font>
      <sz val="12.0"/>
      <color theme="1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b/>
      <i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rgb="FF202122"/>
      <name val="Arial"/>
      <scheme val="minor"/>
    </font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theme="1"/>
      <name val="Arial"/>
      <scheme val="minor"/>
    </font>
    <font/>
    <font>
      <b/>
      <color theme="1"/>
      <name val="Arial"/>
      <scheme val="minor"/>
    </font>
    <font>
      <b/>
      <i/>
      <color theme="1"/>
      <name val="Arial"/>
    </font>
    <font>
      <color rgb="FF202122"/>
      <name val="Arial"/>
    </font>
    <font>
      <color rgb="FF000000"/>
      <name val="Arial"/>
    </font>
    <font>
      <sz val="10.0"/>
      <color rgb="FF202122"/>
      <name val="Arial"/>
    </font>
    <font>
      <b/>
      <sz val="11.0"/>
      <color rgb="FF000000"/>
      <name val="Arial"/>
      <scheme val="minor"/>
    </font>
    <font>
      <i/>
      <sz val="10.0"/>
      <color theme="1"/>
      <name val="Arial"/>
      <scheme val="minor"/>
    </font>
    <font>
      <sz val="10.0"/>
      <color theme="1"/>
      <name val="Arial"/>
    </font>
    <font>
      <b/>
      <sz val="12.0"/>
      <color theme="1"/>
      <name val="Arial"/>
      <scheme val="minor"/>
    </font>
    <font>
      <b/>
      <color rgb="FF000000"/>
      <name val="Arial"/>
    </font>
    <font>
      <b/>
      <sz val="10.0"/>
      <color rgb="FF000000"/>
      <name val="Arial"/>
    </font>
    <font>
      <i/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8F9FA"/>
        <bgColor rgb="FFF8F9FA"/>
      </patternFill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CCCCCC"/>
        <bgColor rgb="FFCCCCCC"/>
      </patternFill>
    </fill>
    <fill>
      <patternFill patternType="solid">
        <fgColor rgb="FF666666"/>
        <bgColor rgb="FF666666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2" fontId="4" numFmtId="0" xfId="0" applyAlignment="1" applyFill="1" applyFont="1">
      <alignment horizontal="center" readingOrder="0" vertical="center"/>
    </xf>
    <xf borderId="0" fillId="0" fontId="5" numFmtId="0" xfId="0" applyFont="1"/>
    <xf borderId="0" fillId="0" fontId="5" numFmtId="0" xfId="0" applyAlignment="1" applyFont="1">
      <alignment readingOrder="0"/>
    </xf>
    <xf borderId="0" fillId="2" fontId="6" numFmtId="0" xfId="0" applyAlignment="1" applyFont="1">
      <alignment horizontal="center" readingOrder="0" vertical="center"/>
    </xf>
    <xf borderId="1" fillId="3" fontId="5" numFmtId="0" xfId="0" applyAlignment="1" applyBorder="1" applyFill="1" applyFon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1" fillId="5" fontId="7" numFmtId="0" xfId="0" applyAlignment="1" applyBorder="1" applyFill="1" applyFont="1">
      <alignment readingOrder="0"/>
    </xf>
    <xf borderId="0" fillId="0" fontId="5" numFmtId="0" xfId="0" applyAlignment="1" applyFont="1">
      <alignment horizontal="center" readingOrder="0" vertical="center"/>
    </xf>
    <xf borderId="0" fillId="6" fontId="5" numFmtId="0" xfId="0" applyAlignment="1" applyFill="1" applyFont="1">
      <alignment readingOrder="0"/>
    </xf>
    <xf borderId="0" fillId="6" fontId="5" numFmtId="0" xfId="0" applyFont="1"/>
    <xf borderId="1" fillId="0" fontId="5" numFmtId="0" xfId="0" applyAlignment="1" applyBorder="1" applyFont="1">
      <alignment horizontal="center"/>
    </xf>
    <xf borderId="1" fillId="0" fontId="5" numFmtId="0" xfId="0" applyAlignment="1" applyBorder="1" applyFont="1">
      <alignment readingOrder="0"/>
    </xf>
    <xf borderId="0" fillId="0" fontId="5" numFmtId="0" xfId="0" applyAlignment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0" fillId="0" fontId="5" numFmtId="1" xfId="0" applyAlignment="1" applyFont="1" applyNumberFormat="1">
      <alignment horizontal="center" readingOrder="0"/>
    </xf>
    <xf borderId="0" fillId="7" fontId="6" numFmtId="0" xfId="0" applyFill="1" applyFont="1"/>
    <xf borderId="0" fillId="7" fontId="5" numFmtId="0" xfId="0" applyAlignment="1" applyFont="1">
      <alignment horizontal="center"/>
    </xf>
    <xf borderId="0" fillId="7" fontId="7" numFmtId="0" xfId="0" applyAlignment="1" applyFont="1">
      <alignment readingOrder="0"/>
    </xf>
    <xf borderId="0" fillId="7" fontId="5" numFmtId="0" xfId="0" applyAlignment="1" applyFont="1">
      <alignment horizontal="center" vertical="center"/>
    </xf>
    <xf borderId="0" fillId="8" fontId="5" numFmtId="0" xfId="0" applyAlignment="1" applyFill="1" applyFont="1">
      <alignment readingOrder="0"/>
    </xf>
    <xf borderId="0" fillId="8" fontId="5" numFmtId="0" xfId="0" applyFont="1"/>
    <xf borderId="1" fillId="0" fontId="7" numFmtId="0" xfId="0" applyAlignment="1" applyBorder="1" applyFont="1">
      <alignment readingOrder="0"/>
    </xf>
    <xf borderId="1" fillId="9" fontId="7" numFmtId="0" xfId="0" applyAlignment="1" applyBorder="1" applyFill="1" applyFont="1">
      <alignment readingOrder="0"/>
    </xf>
    <xf borderId="0" fillId="0" fontId="5" numFmtId="0" xfId="0" applyAlignment="1" applyFont="1">
      <alignment horizontal="center" readingOrder="0" vertical="bottom"/>
    </xf>
    <xf borderId="0" fillId="0" fontId="5" numFmtId="0" xfId="0" applyAlignment="1" applyFont="1">
      <alignment horizontal="center" vertical="bottom"/>
    </xf>
    <xf borderId="0" fillId="7" fontId="6" numFmtId="0" xfId="0" applyAlignment="1" applyFont="1">
      <alignment horizontal="center" readingOrder="0"/>
    </xf>
    <xf borderId="0" fillId="2" fontId="6" numFmtId="0" xfId="0" applyAlignment="1" applyFont="1">
      <alignment readingOrder="0" vertical="center"/>
    </xf>
    <xf borderId="0" fillId="0" fontId="5" numFmtId="0" xfId="0" applyAlignment="1" applyFont="1">
      <alignment horizontal="center" vertical="bottom"/>
    </xf>
    <xf borderId="1" fillId="10" fontId="7" numFmtId="0" xfId="0" applyAlignment="1" applyBorder="1" applyFill="1" applyFont="1">
      <alignment readingOrder="0"/>
    </xf>
    <xf borderId="0" fillId="7" fontId="5" numFmtId="0" xfId="0" applyFont="1"/>
    <xf borderId="0" fillId="7" fontId="5" numFmtId="0" xfId="0" applyAlignment="1" applyFont="1">
      <alignment horizontal="center" readingOrder="0" vertical="center"/>
    </xf>
    <xf borderId="0" fillId="9" fontId="0" numFmtId="0" xfId="0" applyAlignment="1" applyFont="1">
      <alignment horizontal="center" readingOrder="0"/>
    </xf>
    <xf borderId="0" fillId="9" fontId="8" numFmtId="0" xfId="0" applyAlignment="1" applyFont="1">
      <alignment horizontal="center" readingOrder="0"/>
    </xf>
    <xf borderId="1" fillId="10" fontId="5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0" fillId="0" fontId="5" numFmtId="0" xfId="0" applyAlignment="1" applyFont="1">
      <alignment horizontal="center"/>
    </xf>
    <xf borderId="0" fillId="0" fontId="9" numFmtId="0" xfId="0" applyFont="1"/>
    <xf borderId="3" fillId="11" fontId="10" numFmtId="0" xfId="0" applyAlignment="1" applyBorder="1" applyFill="1" applyFont="1">
      <alignment horizontal="center"/>
    </xf>
    <xf borderId="2" fillId="11" fontId="10" numFmtId="1" xfId="0" applyAlignment="1" applyBorder="1" applyFont="1" applyNumberFormat="1">
      <alignment horizontal="center" shrinkToFit="0" wrapText="1"/>
    </xf>
    <xf borderId="0" fillId="11" fontId="11" numFmtId="0" xfId="0" applyAlignment="1" applyFont="1">
      <alignment horizontal="center"/>
    </xf>
    <xf borderId="3" fillId="0" fontId="12" numFmtId="0" xfId="0" applyBorder="1" applyFont="1"/>
    <xf borderId="4" fillId="0" fontId="12" numFmtId="0" xfId="0" applyBorder="1" applyFont="1"/>
    <xf borderId="1" fillId="11" fontId="13" numFmtId="1" xfId="0" applyAlignment="1" applyBorder="1" applyFont="1" applyNumberFormat="1">
      <alignment horizontal="center"/>
    </xf>
    <xf borderId="5" fillId="0" fontId="12" numFmtId="0" xfId="0" applyBorder="1" applyFont="1"/>
    <xf borderId="4" fillId="11" fontId="14" numFmtId="1" xfId="0" applyAlignment="1" applyBorder="1" applyFont="1" applyNumberFormat="1">
      <alignment horizontal="center"/>
    </xf>
    <xf borderId="1" fillId="11" fontId="13" numFmtId="1" xfId="0" applyAlignment="1" applyBorder="1" applyFont="1" applyNumberFormat="1">
      <alignment horizontal="center" readingOrder="0"/>
    </xf>
    <xf borderId="0" fillId="11" fontId="11" numFmtId="0" xfId="0" applyAlignment="1" applyFont="1">
      <alignment horizontal="center" readingOrder="0"/>
    </xf>
    <xf borderId="5" fillId="0" fontId="9" numFmtId="0" xfId="0" applyAlignment="1" applyBorder="1" applyFont="1">
      <alignment horizontal="center" vertical="bottom"/>
    </xf>
    <xf borderId="1" fillId="0" fontId="10" numFmtId="1" xfId="0" applyAlignment="1" applyBorder="1" applyFont="1" applyNumberFormat="1">
      <alignment horizontal="center" vertical="bottom"/>
    </xf>
    <xf borderId="1" fillId="0" fontId="11" numFmtId="1" xfId="0" applyAlignment="1" applyBorder="1" applyFont="1" applyNumberFormat="1">
      <alignment horizontal="center" readingOrder="0"/>
    </xf>
    <xf borderId="1" fillId="0" fontId="11" numFmtId="0" xfId="0" applyAlignment="1" applyBorder="1" applyFont="1">
      <alignment horizontal="center" readingOrder="0"/>
    </xf>
    <xf borderId="5" fillId="5" fontId="15" numFmtId="0" xfId="0" applyAlignment="1" applyBorder="1" applyFont="1">
      <alignment horizontal="center" vertical="bottom"/>
    </xf>
    <xf borderId="4" fillId="0" fontId="10" numFmtId="1" xfId="0" applyAlignment="1" applyBorder="1" applyFont="1" applyNumberFormat="1">
      <alignment horizontal="center" vertical="bottom"/>
    </xf>
    <xf borderId="1" fillId="5" fontId="7" numFmtId="0" xfId="0" applyAlignment="1" applyBorder="1" applyFont="1">
      <alignment horizontal="center" readingOrder="0"/>
    </xf>
    <xf borderId="4" fillId="9" fontId="10" numFmtId="1" xfId="0" applyAlignment="1" applyBorder="1" applyFont="1" applyNumberFormat="1">
      <alignment horizontal="center" vertical="bottom"/>
    </xf>
    <xf borderId="4" fillId="0" fontId="13" numFmtId="1" xfId="0" applyAlignment="1" applyBorder="1" applyFont="1" applyNumberFormat="1">
      <alignment horizontal="center" readingOrder="0"/>
    </xf>
    <xf borderId="1" fillId="9" fontId="16" numFmtId="1" xfId="0" applyAlignment="1" applyBorder="1" applyFont="1" applyNumberFormat="1">
      <alignment horizontal="center" readingOrder="0"/>
    </xf>
    <xf borderId="5" fillId="3" fontId="5" numFmtId="0" xfId="0" applyAlignment="1" applyBorder="1" applyFont="1">
      <alignment readingOrder="0"/>
    </xf>
    <xf borderId="1" fillId="3" fontId="5" numFmtId="0" xfId="0" applyAlignment="1" applyBorder="1" applyFont="1">
      <alignment readingOrder="0"/>
    </xf>
    <xf borderId="1" fillId="5" fontId="17" numFmtId="0" xfId="0" applyAlignment="1" applyBorder="1" applyFont="1">
      <alignment horizontal="center" readingOrder="0"/>
    </xf>
    <xf borderId="6" fillId="0" fontId="10" numFmtId="1" xfId="0" applyAlignment="1" applyBorder="1" applyFont="1" applyNumberFormat="1">
      <alignment horizontal="center" vertical="bottom"/>
    </xf>
    <xf borderId="0" fillId="0" fontId="11" numFmtId="1" xfId="0" applyAlignment="1" applyFont="1" applyNumberFormat="1">
      <alignment horizontal="center" readingOrder="0"/>
    </xf>
    <xf borderId="1" fillId="3" fontId="11" numFmtId="0" xfId="0" applyAlignment="1" applyBorder="1" applyFont="1">
      <alignment readingOrder="0"/>
    </xf>
    <xf borderId="5" fillId="3" fontId="11" numFmtId="0" xfId="0" applyAlignment="1" applyBorder="1" applyFont="1">
      <alignment readingOrder="0"/>
    </xf>
    <xf borderId="5" fillId="3" fontId="16" numFmtId="0" xfId="0" applyAlignment="1" applyBorder="1" applyFont="1">
      <alignment horizontal="left" readingOrder="0"/>
    </xf>
    <xf borderId="1" fillId="3" fontId="16" numFmtId="0" xfId="0" applyAlignment="1" applyBorder="1" applyFont="1">
      <alignment horizontal="left" readingOrder="0"/>
    </xf>
    <xf borderId="5" fillId="0" fontId="11" numFmtId="0" xfId="0" applyAlignment="1" applyBorder="1" applyFont="1">
      <alignment horizontal="center" readingOrder="0"/>
    </xf>
    <xf borderId="4" fillId="0" fontId="11" numFmtId="1" xfId="0" applyAlignment="1" applyBorder="1" applyFont="1" applyNumberFormat="1">
      <alignment horizontal="center" readingOrder="0"/>
    </xf>
    <xf borderId="7" fillId="3" fontId="5" numFmtId="0" xfId="0" applyAlignment="1" applyBorder="1" applyFont="1">
      <alignment readingOrder="0"/>
    </xf>
    <xf borderId="7" fillId="5" fontId="15" numFmtId="0" xfId="0" applyAlignment="1" applyBorder="1" applyFont="1">
      <alignment horizontal="center" vertical="bottom"/>
    </xf>
    <xf borderId="7" fillId="0" fontId="9" numFmtId="0" xfId="0" applyAlignment="1" applyBorder="1" applyFont="1">
      <alignment horizontal="center" vertical="bottom"/>
    </xf>
    <xf borderId="7" fillId="0" fontId="5" numFmtId="0" xfId="0" applyAlignment="1" applyBorder="1" applyFont="1">
      <alignment horizontal="center" readingOrder="0"/>
    </xf>
    <xf borderId="0" fillId="3" fontId="5" numFmtId="0" xfId="0" applyAlignment="1" applyFont="1">
      <alignment readingOrder="0"/>
    </xf>
    <xf borderId="0" fillId="0" fontId="11" numFmtId="0" xfId="0" applyAlignment="1" applyFont="1">
      <alignment horizontal="center" readingOrder="0"/>
    </xf>
    <xf borderId="0" fillId="0" fontId="9" numFmtId="0" xfId="0" applyAlignment="1" applyFont="1">
      <alignment horizontal="center" vertical="bottom"/>
    </xf>
    <xf borderId="0" fillId="3" fontId="16" numFmtId="0" xfId="0" applyAlignment="1" applyFont="1">
      <alignment horizontal="left" readingOrder="0"/>
    </xf>
    <xf borderId="7" fillId="0" fontId="11" numFmtId="0" xfId="0" applyAlignment="1" applyBorder="1" applyFont="1">
      <alignment horizontal="center" readingOrder="0"/>
    </xf>
    <xf borderId="7" fillId="5" fontId="7" numFmtId="0" xfId="0" applyAlignment="1" applyBorder="1" applyFont="1">
      <alignment horizontal="center" readingOrder="0"/>
    </xf>
    <xf borderId="1" fillId="5" fontId="15" numFmtId="0" xfId="0" applyAlignment="1" applyBorder="1" applyFont="1">
      <alignment horizontal="center" vertical="bottom"/>
    </xf>
    <xf borderId="1" fillId="0" fontId="9" numFmtId="0" xfId="0" applyAlignment="1" applyBorder="1" applyFont="1">
      <alignment horizontal="center" vertical="bottom"/>
    </xf>
    <xf borderId="1" fillId="12" fontId="9" numFmtId="0" xfId="0" applyAlignment="1" applyBorder="1" applyFill="1" applyFont="1">
      <alignment vertical="bottom"/>
    </xf>
    <xf borderId="4" fillId="12" fontId="9" numFmtId="1" xfId="0" applyAlignment="1" applyBorder="1" applyFont="1" applyNumberFormat="1">
      <alignment vertical="bottom"/>
    </xf>
    <xf borderId="1" fillId="12" fontId="7" numFmtId="0" xfId="0" applyAlignment="1" applyBorder="1" applyFont="1">
      <alignment horizontal="center" readingOrder="0"/>
    </xf>
    <xf borderId="1" fillId="12" fontId="13" numFmtId="1" xfId="0" applyAlignment="1" applyBorder="1" applyFont="1" applyNumberFormat="1">
      <alignment horizontal="center"/>
    </xf>
    <xf borderId="1" fillId="12" fontId="11" numFmtId="0" xfId="0" applyAlignment="1" applyBorder="1" applyFont="1">
      <alignment horizontal="center"/>
    </xf>
    <xf borderId="4" fillId="12" fontId="9" numFmtId="0" xfId="0" applyAlignment="1" applyBorder="1" applyFont="1">
      <alignment vertical="bottom"/>
    </xf>
    <xf borderId="1" fillId="12" fontId="13" numFmtId="0" xfId="0" applyAlignment="1" applyBorder="1" applyFont="1">
      <alignment horizontal="center"/>
    </xf>
    <xf borderId="8" fillId="12" fontId="13" numFmtId="0" xfId="0" applyAlignment="1" applyBorder="1" applyFont="1">
      <alignment horizontal="center"/>
    </xf>
    <xf borderId="1" fillId="13" fontId="9" numFmtId="0" xfId="0" applyAlignment="1" applyBorder="1" applyFill="1" applyFont="1">
      <alignment vertical="bottom"/>
    </xf>
    <xf borderId="4" fillId="13" fontId="9" numFmtId="0" xfId="0" applyAlignment="1" applyBorder="1" applyFont="1">
      <alignment vertical="bottom"/>
    </xf>
    <xf borderId="9" fillId="13" fontId="9" numFmtId="0" xfId="0" applyAlignment="1" applyBorder="1" applyFont="1">
      <alignment vertical="bottom"/>
    </xf>
    <xf borderId="0" fillId="11" fontId="13" numFmtId="0" xfId="0" applyAlignment="1" applyFont="1">
      <alignment horizontal="center" readingOrder="0"/>
    </xf>
    <xf borderId="0" fillId="11" fontId="13" numFmtId="0" xfId="0" applyAlignment="1" applyFont="1">
      <alignment horizontal="center"/>
    </xf>
    <xf borderId="1" fillId="0" fontId="13" numFmtId="1" xfId="0" applyAlignment="1" applyBorder="1" applyFont="1" applyNumberFormat="1">
      <alignment horizontal="center"/>
    </xf>
    <xf borderId="1" fillId="0" fontId="11" numFmtId="1" xfId="0" applyAlignment="1" applyBorder="1" applyFont="1" applyNumberFormat="1">
      <alignment horizontal="center"/>
    </xf>
    <xf borderId="1" fillId="9" fontId="16" numFmtId="1" xfId="0" applyAlignment="1" applyBorder="1" applyFont="1" applyNumberFormat="1">
      <alignment horizontal="center"/>
    </xf>
    <xf borderId="10" fillId="0" fontId="13" numFmtId="1" xfId="0" applyAlignment="1" applyBorder="1" applyFont="1" applyNumberFormat="1">
      <alignment horizontal="center"/>
    </xf>
    <xf borderId="5" fillId="0" fontId="13" numFmtId="1" xfId="0" applyAlignment="1" applyBorder="1" applyFont="1" applyNumberFormat="1">
      <alignment horizontal="center"/>
    </xf>
    <xf borderId="1" fillId="9" fontId="18" numFmtId="1" xfId="0" applyAlignment="1" applyBorder="1" applyFont="1" applyNumberFormat="1">
      <alignment horizontal="center"/>
    </xf>
    <xf borderId="5" fillId="9" fontId="18" numFmtId="1" xfId="0" applyAlignment="1" applyBorder="1" applyFont="1" applyNumberFormat="1">
      <alignment horizontal="center"/>
    </xf>
    <xf borderId="0" fillId="0" fontId="11" numFmtId="1" xfId="0" applyAlignment="1" applyFont="1" applyNumberFormat="1">
      <alignment horizontal="center"/>
    </xf>
    <xf borderId="1" fillId="7" fontId="7" numFmtId="0" xfId="0" applyAlignment="1" applyBorder="1" applyFont="1">
      <alignment readingOrder="0"/>
    </xf>
    <xf borderId="1" fillId="7" fontId="6" numFmtId="1" xfId="0" applyAlignment="1" applyBorder="1" applyFont="1" applyNumberFormat="1">
      <alignment horizontal="center" vertical="center"/>
    </xf>
    <xf borderId="1" fillId="7" fontId="5" numFmtId="1" xfId="0" applyAlignment="1" applyBorder="1" applyFont="1" applyNumberFormat="1">
      <alignment horizontal="center" vertical="center"/>
    </xf>
    <xf borderId="0" fillId="7" fontId="5" numFmtId="1" xfId="0" applyAlignment="1" applyFont="1" applyNumberFormat="1">
      <alignment horizontal="center" vertical="center"/>
    </xf>
    <xf borderId="1" fillId="7" fontId="19" numFmtId="1" xfId="0" applyAlignment="1" applyBorder="1" applyFont="1" applyNumberFormat="1">
      <alignment horizontal="center" vertical="center"/>
    </xf>
    <xf borderId="0" fillId="0" fontId="9" numFmtId="0" xfId="0" applyAlignment="1" applyFont="1">
      <alignment vertical="bottom"/>
    </xf>
    <xf borderId="0" fillId="0" fontId="9" numFmtId="1" xfId="0" applyAlignment="1" applyFont="1" applyNumberFormat="1">
      <alignment vertical="bottom"/>
    </xf>
    <xf borderId="10" fillId="4" fontId="13" numFmtId="0" xfId="0" applyAlignment="1" applyBorder="1" applyFont="1">
      <alignment horizontal="center" readingOrder="0" vertical="center"/>
    </xf>
    <xf borderId="8" fillId="4" fontId="2" numFmtId="0" xfId="0" applyAlignment="1" applyBorder="1" applyFont="1">
      <alignment horizontal="center" readingOrder="0" vertical="center"/>
    </xf>
    <xf borderId="11" fillId="0" fontId="12" numFmtId="0" xfId="0" applyBorder="1" applyFont="1"/>
    <xf borderId="7" fillId="0" fontId="12" numFmtId="0" xfId="0" applyBorder="1" applyFont="1"/>
    <xf borderId="10" fillId="2" fontId="4" numFmtId="0" xfId="0" applyAlignment="1" applyBorder="1" applyFont="1">
      <alignment horizontal="center" readingOrder="0" vertical="center"/>
    </xf>
    <xf borderId="1" fillId="0" fontId="11" numFmtId="0" xfId="0" applyAlignment="1" applyBorder="1" applyFont="1">
      <alignment horizontal="left" readingOrder="0"/>
    </xf>
    <xf borderId="1" fillId="0" fontId="9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 readingOrder="0" vertical="bottom"/>
    </xf>
    <xf borderId="1" fillId="10" fontId="5" numFmtId="0" xfId="0" applyAlignment="1" applyBorder="1" applyFont="1">
      <alignment horizontal="left" readingOrder="0"/>
    </xf>
    <xf borderId="10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left" readingOrder="0"/>
    </xf>
    <xf borderId="1" fillId="12" fontId="5" numFmtId="0" xfId="0" applyAlignment="1" applyBorder="1" applyFont="1">
      <alignment horizontal="left" readingOrder="0"/>
    </xf>
    <xf borderId="1" fillId="12" fontId="5" numFmtId="0" xfId="0" applyAlignment="1" applyBorder="1" applyFont="1">
      <alignment horizontal="center"/>
    </xf>
    <xf borderId="1" fillId="12" fontId="5" numFmtId="0" xfId="0" applyAlignment="1" applyBorder="1" applyFont="1">
      <alignment horizontal="center" readingOrder="0" vertical="center"/>
    </xf>
    <xf borderId="1" fillId="12" fontId="5" numFmtId="0" xfId="0" applyAlignment="1" applyBorder="1" applyFont="1">
      <alignment horizontal="center" readingOrder="0"/>
    </xf>
    <xf borderId="1" fillId="3" fontId="11" numFmtId="0" xfId="0" applyAlignment="1" applyBorder="1" applyFont="1">
      <alignment horizontal="center" readingOrder="0"/>
    </xf>
    <xf borderId="10" fillId="0" fontId="11" numFmtId="0" xfId="0" applyAlignment="1" applyBorder="1" applyFont="1">
      <alignment horizontal="center"/>
    </xf>
    <xf borderId="1" fillId="0" fontId="9" numFmtId="1" xfId="0" applyAlignment="1" applyBorder="1" applyFont="1" applyNumberFormat="1">
      <alignment horizontal="center" readingOrder="0" vertical="bottom"/>
    </xf>
    <xf borderId="1" fillId="12" fontId="11" numFmtId="0" xfId="0" applyAlignment="1" applyBorder="1" applyFont="1">
      <alignment horizontal="left"/>
    </xf>
    <xf borderId="1" fillId="12" fontId="11" numFmtId="0" xfId="0" applyBorder="1" applyFont="1"/>
    <xf borderId="1" fillId="3" fontId="11" numFmtId="0" xfId="0" applyAlignment="1" applyBorder="1" applyFont="1">
      <alignment horizontal="center" readingOrder="0" vertical="center"/>
    </xf>
    <xf borderId="10" fillId="0" fontId="11" numFmtId="0" xfId="0" applyAlignment="1" applyBorder="1" applyFont="1">
      <alignment vertical="center"/>
    </xf>
    <xf borderId="10" fillId="0" fontId="11" numFmtId="0" xfId="0" applyBorder="1" applyFont="1"/>
    <xf borderId="1" fillId="9" fontId="9" numFmtId="0" xfId="0" applyAlignment="1" applyBorder="1" applyFont="1">
      <alignment horizontal="center" readingOrder="0" vertical="bottom"/>
    </xf>
    <xf borderId="1" fillId="0" fontId="11" numFmtId="0" xfId="0" applyBorder="1" applyFont="1"/>
    <xf borderId="10" fillId="13" fontId="11" numFmtId="0" xfId="0" applyAlignment="1" applyBorder="1" applyFont="1">
      <alignment horizontal="left"/>
    </xf>
    <xf borderId="1" fillId="13" fontId="5" numFmtId="0" xfId="0" applyAlignment="1" applyBorder="1" applyFont="1">
      <alignment readingOrder="0"/>
    </xf>
    <xf borderId="1" fillId="13" fontId="5" numFmtId="0" xfId="0" applyAlignment="1" applyBorder="1" applyFont="1">
      <alignment horizontal="center"/>
    </xf>
    <xf borderId="1" fillId="13" fontId="5" numFmtId="0" xfId="0" applyAlignment="1" applyBorder="1" applyFont="1">
      <alignment horizontal="center" readingOrder="0"/>
    </xf>
    <xf borderId="2" fillId="0" fontId="11" numFmtId="0" xfId="0" applyAlignment="1" applyBorder="1" applyFont="1">
      <alignment horizontal="left"/>
    </xf>
    <xf borderId="1" fillId="0" fontId="20" numFmtId="0" xfId="0" applyAlignment="1" applyBorder="1" applyFont="1">
      <alignment horizontal="center" readingOrder="0" vertical="bottom"/>
    </xf>
    <xf borderId="7" fillId="3" fontId="16" numFmtId="0" xfId="0" applyAlignment="1" applyBorder="1" applyFont="1">
      <alignment horizontal="left" readingOrder="0"/>
    </xf>
    <xf borderId="1" fillId="0" fontId="16" numFmtId="0" xfId="0" applyAlignment="1" applyBorder="1" applyFont="1">
      <alignment horizontal="center" readingOrder="0"/>
    </xf>
    <xf borderId="0" fillId="0" fontId="11" numFmtId="0" xfId="0" applyAlignment="1" applyFont="1">
      <alignment horizontal="left"/>
    </xf>
    <xf borderId="1" fillId="0" fontId="8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0" fillId="0" fontId="11" numFmtId="1" xfId="0" applyFont="1" applyNumberFormat="1"/>
    <xf borderId="0" fillId="0" fontId="11" numFmtId="0" xfId="0" applyAlignment="1" applyFont="1">
      <alignment horizontal="left" shrinkToFit="0" wrapText="0"/>
    </xf>
    <xf borderId="1" fillId="5" fontId="7" numFmtId="0" xfId="0" applyAlignment="1" applyBorder="1" applyFont="1">
      <alignment horizontal="left" readingOrder="0" shrinkToFit="0" wrapText="0"/>
    </xf>
    <xf borderId="1" fillId="0" fontId="5" numFmtId="0" xfId="0" applyAlignment="1" applyBorder="1" applyFont="1">
      <alignment horizontal="left" readingOrder="0" shrinkToFit="0" wrapText="0"/>
    </xf>
    <xf borderId="0" fillId="0" fontId="9" numFmtId="0" xfId="0" applyAlignment="1" applyFont="1">
      <alignment horizontal="center" readingOrder="0"/>
    </xf>
    <xf borderId="1" fillId="0" fontId="9" numFmtId="0" xfId="0" applyAlignment="1" applyBorder="1" applyFont="1">
      <alignment horizontal="center"/>
    </xf>
    <xf borderId="10" fillId="4" fontId="13" numFmtId="1" xfId="0" applyAlignment="1" applyBorder="1" applyFont="1" applyNumberFormat="1">
      <alignment horizontal="center" readingOrder="0" shrinkToFit="0" vertical="center" wrapText="1"/>
    </xf>
    <xf borderId="1" fillId="9" fontId="9" numFmtId="0" xfId="0" applyAlignment="1" applyBorder="1" applyFont="1">
      <alignment horizontal="center" vertical="bottom"/>
    </xf>
    <xf borderId="1" fillId="9" fontId="16" numFmtId="10" xfId="0" applyAlignment="1" applyBorder="1" applyFont="1" applyNumberFormat="1">
      <alignment horizontal="center"/>
    </xf>
    <xf borderId="0" fillId="0" fontId="11" numFmtId="10" xfId="0" applyFont="1" applyNumberFormat="1"/>
    <xf borderId="1" fillId="0" fontId="9" numFmtId="0" xfId="0" applyAlignment="1" applyBorder="1" applyFont="1">
      <alignment horizontal="center"/>
    </xf>
    <xf borderId="1" fillId="0" fontId="9" numFmtId="0" xfId="0" applyAlignment="1" applyBorder="1" applyFont="1">
      <alignment horizontal="center" vertical="bottom"/>
    </xf>
    <xf borderId="1" fillId="12" fontId="11" numFmtId="1" xfId="0" applyAlignment="1" applyBorder="1" applyFont="1" applyNumberFormat="1">
      <alignment horizontal="center"/>
    </xf>
    <xf borderId="0" fillId="14" fontId="11" numFmtId="0" xfId="0" applyFill="1" applyFont="1"/>
    <xf borderId="1" fillId="0" fontId="5" numFmtId="0" xfId="0" applyAlignment="1" applyBorder="1" applyFont="1">
      <alignment horizontal="center" readingOrder="0" vertical="center"/>
    </xf>
    <xf borderId="8" fillId="0" fontId="11" numFmtId="0" xfId="0" applyAlignment="1" applyBorder="1" applyFont="1">
      <alignment horizontal="center" readingOrder="0"/>
    </xf>
    <xf borderId="1" fillId="8" fontId="16" numFmtId="10" xfId="0" applyAlignment="1" applyBorder="1" applyFont="1" applyNumberFormat="1">
      <alignment horizontal="center"/>
    </xf>
    <xf borderId="1" fillId="11" fontId="11" numFmtId="0" xfId="0" applyAlignment="1" applyBorder="1" applyFont="1">
      <alignment horizontal="center" readingOrder="0"/>
    </xf>
    <xf borderId="1" fillId="11" fontId="5" numFmtId="0" xfId="0" applyAlignment="1" applyBorder="1" applyFont="1">
      <alignment horizontal="center" readingOrder="0" vertical="center"/>
    </xf>
    <xf borderId="1" fillId="14" fontId="16" numFmtId="10" xfId="0" applyAlignment="1" applyBorder="1" applyFont="1" applyNumberFormat="1">
      <alignment horizontal="center"/>
    </xf>
    <xf borderId="1" fillId="9" fontId="8" numFmtId="0" xfId="0" applyAlignment="1" applyBorder="1" applyFont="1">
      <alignment horizontal="center" readingOrder="0"/>
    </xf>
    <xf borderId="1" fillId="13" fontId="5" numFmtId="1" xfId="0" applyAlignment="1" applyBorder="1" applyFont="1" applyNumberFormat="1">
      <alignment horizontal="center" readingOrder="0"/>
    </xf>
    <xf borderId="1" fillId="13" fontId="11" numFmtId="0" xfId="0" applyAlignment="1" applyBorder="1" applyFont="1">
      <alignment horizontal="center"/>
    </xf>
    <xf borderId="1" fillId="0" fontId="20" numFmtId="0" xfId="0" applyAlignment="1" applyBorder="1" applyFont="1">
      <alignment horizontal="center" vertical="bottom"/>
    </xf>
    <xf borderId="10" fillId="0" fontId="11" numFmtId="1" xfId="0" applyAlignment="1" applyBorder="1" applyFont="1" applyNumberFormat="1">
      <alignment horizontal="center" readingOrder="0"/>
    </xf>
    <xf borderId="9" fillId="0" fontId="11" numFmtId="0" xfId="0" applyAlignment="1" applyBorder="1" applyFont="1">
      <alignment horizontal="center" readingOrder="0"/>
    </xf>
    <xf borderId="12" fillId="0" fontId="13" numFmtId="1" xfId="0" applyAlignment="1" applyBorder="1" applyFont="1" applyNumberFormat="1">
      <alignment horizontal="left"/>
    </xf>
    <xf borderId="12" fillId="0" fontId="11" numFmtId="1" xfId="0" applyBorder="1" applyFont="1" applyNumberFormat="1"/>
    <xf borderId="12" fillId="0" fontId="11" numFmtId="10" xfId="0" applyBorder="1" applyFont="1" applyNumberFormat="1"/>
    <xf borderId="0" fillId="0" fontId="13" numFmtId="1" xfId="0" applyAlignment="1" applyFont="1" applyNumberFormat="1">
      <alignment horizontal="left"/>
    </xf>
    <xf borderId="0" fillId="0" fontId="13" numFmtId="1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5" fontId="11" numFmtId="0" xfId="0" applyFont="1"/>
    <xf borderId="1" fillId="0" fontId="9" numFmtId="1" xfId="0" applyAlignment="1" applyBorder="1" applyFont="1" applyNumberFormat="1">
      <alignment horizontal="center" vertical="bottom"/>
    </xf>
    <xf borderId="1" fillId="8" fontId="5" numFmtId="0" xfId="0" applyAlignment="1" applyBorder="1" applyFont="1">
      <alignment horizontal="center" readingOrder="0"/>
    </xf>
    <xf borderId="1" fillId="8" fontId="9" numFmtId="0" xfId="0" applyAlignment="1" applyBorder="1" applyFont="1">
      <alignment horizontal="center"/>
    </xf>
    <xf borderId="1" fillId="8" fontId="9" numFmtId="0" xfId="0" applyAlignment="1" applyBorder="1" applyFont="1">
      <alignment horizontal="center" readingOrder="0"/>
    </xf>
    <xf borderId="1" fillId="13" fontId="11" numFmtId="0" xfId="0" applyBorder="1" applyFont="1"/>
    <xf borderId="13" fillId="0" fontId="11" numFmtId="0" xfId="0" applyBorder="1" applyFont="1"/>
    <xf borderId="13" fillId="0" fontId="11" numFmtId="0" xfId="0" applyAlignment="1" applyBorder="1" applyFont="1">
      <alignment horizontal="center"/>
    </xf>
    <xf borderId="0" fillId="0" fontId="13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10" fillId="2" fontId="6" numFmtId="0" xfId="0" applyAlignment="1" applyBorder="1" applyFont="1">
      <alignment horizontal="center" readingOrder="0" vertical="center"/>
    </xf>
    <xf borderId="0" fillId="0" fontId="6" numFmtId="0" xfId="0" applyFont="1"/>
    <xf borderId="1" fillId="7" fontId="6" numFmtId="0" xfId="0" applyBorder="1" applyFont="1"/>
    <xf borderId="1" fillId="7" fontId="5" numFmtId="0" xfId="0" applyAlignment="1" applyBorder="1" applyFont="1">
      <alignment horizontal="center" vertical="center"/>
    </xf>
    <xf borderId="0" fillId="0" fontId="6" numFmtId="0" xfId="0" applyAlignment="1" applyFont="1">
      <alignment horizontal="center" readingOrder="0"/>
    </xf>
    <xf borderId="1" fillId="7" fontId="6" numFmtId="0" xfId="0" applyAlignment="1" applyBorder="1" applyFont="1">
      <alignment horizontal="center" readingOrder="0"/>
    </xf>
    <xf borderId="0" fillId="0" fontId="11" numFmtId="0" xfId="0" applyAlignment="1" applyFont="1">
      <alignment readingOrder="0"/>
    </xf>
    <xf borderId="0" fillId="8" fontId="11" numFmtId="0" xfId="0" applyFont="1"/>
    <xf borderId="0" fillId="0" fontId="9" numFmtId="0" xfId="0" applyAlignment="1" applyFont="1">
      <alignment horizontal="center" vertical="bottom"/>
    </xf>
    <xf borderId="0" fillId="0" fontId="11" numFmtId="0" xfId="0" applyFont="1"/>
    <xf borderId="0" fillId="9" fontId="9" numFmtId="0" xfId="0" applyAlignment="1" applyFont="1">
      <alignment horizontal="center" vertical="bottom"/>
    </xf>
    <xf borderId="0" fillId="0" fontId="21" numFmtId="0" xfId="0" applyAlignment="1" applyFont="1">
      <alignment horizontal="center" readingOrder="0" vertical="center"/>
    </xf>
    <xf borderId="10" fillId="4" fontId="2" numFmtId="0" xfId="0" applyAlignment="1" applyBorder="1" applyFont="1">
      <alignment horizontal="center" readingOrder="0" shrinkToFit="0" vertical="center" wrapText="1"/>
    </xf>
    <xf borderId="10" fillId="4" fontId="13" numFmtId="0" xfId="0" applyAlignment="1" applyBorder="1" applyFont="1">
      <alignment horizontal="center" readingOrder="0" shrinkToFit="0" vertical="center" wrapText="1"/>
    </xf>
    <xf borderId="10" fillId="4" fontId="11" numFmtId="1" xfId="0" applyAlignment="1" applyBorder="1" applyFont="1" applyNumberFormat="1">
      <alignment horizontal="center" readingOrder="0" shrinkToFit="0" vertical="center" wrapText="1"/>
    </xf>
    <xf borderId="9" fillId="4" fontId="11" numFmtId="0" xfId="0" applyAlignment="1" applyBorder="1" applyFont="1">
      <alignment horizontal="center" readingOrder="0" shrinkToFit="0" vertical="center" wrapText="1"/>
    </xf>
    <xf borderId="0" fillId="13" fontId="11" numFmtId="0" xfId="0" applyAlignment="1" applyFont="1">
      <alignment horizontal="center"/>
    </xf>
    <xf borderId="14" fillId="4" fontId="11" numFmtId="0" xfId="0" applyAlignment="1" applyBorder="1" applyFont="1">
      <alignment horizontal="center" readingOrder="0" shrinkToFit="0" vertical="center" wrapText="1"/>
    </xf>
    <xf borderId="10" fillId="4" fontId="6" numFmtId="1" xfId="0" applyAlignment="1" applyBorder="1" applyFont="1" applyNumberFormat="1">
      <alignment horizontal="center" readingOrder="0" shrinkToFit="0" vertical="center" wrapText="1"/>
    </xf>
    <xf borderId="10" fillId="4" fontId="5" numFmtId="1" xfId="0" applyAlignment="1" applyBorder="1" applyFont="1" applyNumberFormat="1">
      <alignment horizontal="center" readingOrder="0" shrinkToFit="0" vertical="center" wrapText="1"/>
    </xf>
    <xf borderId="10" fillId="4" fontId="2" numFmtId="1" xfId="0" applyAlignment="1" applyBorder="1" applyFont="1" applyNumberFormat="1">
      <alignment horizontal="center" readingOrder="0" shrinkToFit="0" vertical="center" wrapText="1"/>
    </xf>
    <xf borderId="13" fillId="0" fontId="12" numFmtId="0" xfId="0" applyBorder="1" applyFont="1"/>
    <xf borderId="2" fillId="0" fontId="12" numFmtId="0" xfId="0" applyBorder="1" applyFont="1"/>
    <xf borderId="5" fillId="2" fontId="4" numFmtId="0" xfId="0" applyAlignment="1" applyBorder="1" applyFont="1">
      <alignment horizontal="center" readingOrder="0" vertical="center"/>
    </xf>
    <xf borderId="15" fillId="0" fontId="12" numFmtId="0" xfId="0" applyBorder="1" applyFont="1"/>
    <xf borderId="1" fillId="2" fontId="4" numFmtId="1" xfId="0" applyAlignment="1" applyBorder="1" applyFont="1" applyNumberFormat="1">
      <alignment horizontal="center" readingOrder="0" vertical="center"/>
    </xf>
    <xf borderId="8" fillId="2" fontId="4" numFmtId="1" xfId="0" applyAlignment="1" applyBorder="1" applyFont="1" applyNumberFormat="1">
      <alignment horizontal="center" readingOrder="0" vertical="center"/>
    </xf>
    <xf borderId="1" fillId="0" fontId="13" numFmtId="0" xfId="0" applyAlignment="1" applyBorder="1" applyFont="1">
      <alignment horizontal="left" readingOrder="0"/>
    </xf>
    <xf borderId="8" fillId="0" fontId="11" numFmtId="10" xfId="0" applyAlignment="1" applyBorder="1" applyFont="1" applyNumberFormat="1">
      <alignment horizontal="center"/>
    </xf>
    <xf borderId="0" fillId="13" fontId="11" numFmtId="0" xfId="0" applyFont="1"/>
    <xf borderId="7" fillId="0" fontId="11" numFmtId="0" xfId="0" applyAlignment="1" applyBorder="1" applyFont="1">
      <alignment horizontal="left" readingOrder="0"/>
    </xf>
    <xf borderId="1" fillId="12" fontId="13" numFmtId="0" xfId="0" applyAlignment="1" applyBorder="1" applyFont="1">
      <alignment horizontal="left"/>
    </xf>
    <xf borderId="7" fillId="12" fontId="11" numFmtId="0" xfId="0" applyAlignment="1" applyBorder="1" applyFont="1">
      <alignment horizontal="left"/>
    </xf>
    <xf borderId="0" fillId="9" fontId="16" numFmtId="1" xfId="0" applyAlignment="1" applyFont="1" applyNumberFormat="1">
      <alignment horizontal="center" readingOrder="0"/>
    </xf>
    <xf borderId="1" fillId="0" fontId="13" numFmtId="1" xfId="0" applyAlignment="1" applyBorder="1" applyFont="1" applyNumberFormat="1">
      <alignment horizontal="center" readingOrder="0"/>
    </xf>
    <xf borderId="0" fillId="0" fontId="13" numFmtId="0" xfId="0" applyAlignment="1" applyFont="1">
      <alignment readingOrder="0"/>
    </xf>
    <xf borderId="1" fillId="0" fontId="11" numFmtId="0" xfId="0" applyAlignment="1" applyBorder="1" applyFont="1">
      <alignment readingOrder="0"/>
    </xf>
    <xf borderId="1" fillId="0" fontId="16" numFmtId="10" xfId="0" applyAlignment="1" applyBorder="1" applyFont="1" applyNumberFormat="1">
      <alignment horizontal="center"/>
    </xf>
    <xf borderId="1" fillId="0" fontId="13" numFmtId="0" xfId="0" applyAlignment="1" applyBorder="1" applyFont="1">
      <alignment readingOrder="0"/>
    </xf>
    <xf borderId="0" fillId="9" fontId="16" numFmtId="1" xfId="0" applyAlignment="1" applyFont="1" applyNumberFormat="1">
      <alignment horizontal="center"/>
    </xf>
    <xf borderId="1" fillId="9" fontId="22" numFmtId="1" xfId="0" applyAlignment="1" applyBorder="1" applyFont="1" applyNumberFormat="1">
      <alignment horizontal="center"/>
    </xf>
    <xf borderId="1" fillId="9" fontId="8" numFmtId="1" xfId="0" applyAlignment="1" applyBorder="1" applyFont="1" applyNumberFormat="1">
      <alignment horizontal="center"/>
    </xf>
    <xf borderId="1" fillId="0" fontId="5" numFmtId="1" xfId="0" applyAlignment="1" applyBorder="1" applyFont="1" applyNumberFormat="1">
      <alignment horizontal="center"/>
    </xf>
    <xf borderId="0" fillId="9" fontId="23" numFmtId="1" xfId="0" applyAlignment="1" applyFont="1" applyNumberFormat="1">
      <alignment horizontal="center"/>
    </xf>
    <xf borderId="0" fillId="9" fontId="8" numFmtId="1" xfId="0" applyAlignment="1" applyFont="1" applyNumberFormat="1">
      <alignment horizontal="center"/>
    </xf>
    <xf borderId="0" fillId="9" fontId="22" numFmtId="1" xfId="0" applyAlignment="1" applyFont="1" applyNumberFormat="1">
      <alignment horizontal="center"/>
    </xf>
    <xf borderId="7" fillId="12" fontId="11" numFmtId="0" xfId="0" applyAlignment="1" applyBorder="1" applyFont="1">
      <alignment horizontal="center"/>
    </xf>
    <xf borderId="7" fillId="13" fontId="5" numFmtId="0" xfId="0" applyAlignment="1" applyBorder="1" applyFont="1">
      <alignment horizontal="center" readingOrder="0"/>
    </xf>
    <xf borderId="1" fillId="13" fontId="5" numFmtId="0" xfId="0" applyAlignment="1" applyBorder="1" applyFont="1">
      <alignment horizontal="left" readingOrder="0"/>
    </xf>
    <xf borderId="1" fillId="13" fontId="6" numFmtId="0" xfId="0" applyAlignment="1" applyBorder="1" applyFont="1">
      <alignment horizontal="center" readingOrder="0"/>
    </xf>
    <xf borderId="0" fillId="10" fontId="5" numFmtId="0" xfId="0" applyAlignment="1" applyFont="1">
      <alignment horizontal="center" readingOrder="0"/>
    </xf>
    <xf borderId="0" fillId="13" fontId="5" numFmtId="0" xfId="0" applyAlignment="1" applyFont="1">
      <alignment horizontal="center" readingOrder="0"/>
    </xf>
    <xf borderId="8" fillId="0" fontId="11" numFmtId="1" xfId="0" applyAlignment="1" applyBorder="1" applyFont="1" applyNumberFormat="1">
      <alignment horizontal="center" readingOrder="0"/>
    </xf>
    <xf borderId="8" fillId="0" fontId="11" numFmtId="1" xfId="0" applyAlignment="1" applyBorder="1" applyFont="1" applyNumberFormat="1">
      <alignment horizontal="center"/>
    </xf>
    <xf borderId="10" fillId="0" fontId="11" numFmtId="0" xfId="0" applyAlignment="1" applyBorder="1" applyFont="1">
      <alignment horizontal="center" readingOrder="0"/>
    </xf>
    <xf borderId="10" fillId="0" fontId="13" numFmtId="0" xfId="0" applyAlignment="1" applyBorder="1" applyFont="1">
      <alignment horizontal="left" readingOrder="0"/>
    </xf>
    <xf borderId="10" fillId="0" fontId="11" numFmtId="1" xfId="0" applyAlignment="1" applyBorder="1" applyFont="1" applyNumberFormat="1">
      <alignment horizontal="center"/>
    </xf>
    <xf borderId="10" fillId="13" fontId="11" numFmtId="0" xfId="0" applyBorder="1" applyFont="1"/>
    <xf borderId="10" fillId="0" fontId="11" numFmtId="0" xfId="0" applyAlignment="1" applyBorder="1" applyFont="1">
      <alignment horizontal="left" readingOrder="0"/>
    </xf>
    <xf borderId="9" fillId="0" fontId="11" numFmtId="1" xfId="0" applyAlignment="1" applyBorder="1" applyFont="1" applyNumberFormat="1">
      <alignment horizontal="center" readingOrder="0"/>
    </xf>
    <xf borderId="9" fillId="0" fontId="11" numFmtId="1" xfId="0" applyAlignment="1" applyBorder="1" applyFont="1" applyNumberFormat="1">
      <alignment horizontal="center"/>
    </xf>
    <xf borderId="12" fillId="0" fontId="11" numFmtId="0" xfId="0" applyAlignment="1" applyBorder="1" applyFont="1">
      <alignment horizontal="center"/>
    </xf>
    <xf borderId="12" fillId="0" fontId="13" numFmtId="0" xfId="0" applyAlignment="1" applyBorder="1" applyFont="1">
      <alignment horizontal="left"/>
    </xf>
    <xf borderId="12" fillId="0" fontId="11" numFmtId="1" xfId="0" applyAlignment="1" applyBorder="1" applyFont="1" applyNumberFormat="1">
      <alignment horizontal="center"/>
    </xf>
    <xf borderId="12" fillId="15" fontId="11" numFmtId="10" xfId="0" applyAlignment="1" applyBorder="1" applyFill="1" applyFont="1" applyNumberFormat="1">
      <alignment horizontal="center"/>
    </xf>
    <xf borderId="12" fillId="0" fontId="11" numFmtId="0" xfId="0" applyBorder="1" applyFont="1"/>
    <xf borderId="12" fillId="0" fontId="11" numFmtId="0" xfId="0" applyAlignment="1" applyBorder="1" applyFont="1">
      <alignment horizontal="left"/>
    </xf>
    <xf borderId="12" fillId="0" fontId="13" numFmtId="1" xfId="0" applyAlignment="1" applyBorder="1" applyFont="1" applyNumberFormat="1">
      <alignment horizontal="center"/>
    </xf>
    <xf borderId="0" fillId="0" fontId="13" numFmtId="0" xfId="0" applyAlignment="1" applyFont="1">
      <alignment horizontal="left"/>
    </xf>
    <xf borderId="0" fillId="6" fontId="11" numFmtId="10" xfId="0" applyAlignment="1" applyFont="1" applyNumberFormat="1">
      <alignment horizontal="center"/>
    </xf>
    <xf borderId="0" fillId="0" fontId="11" numFmtId="10" xfId="0" applyAlignment="1" applyFont="1" applyNumberFormat="1">
      <alignment horizontal="center"/>
    </xf>
    <xf borderId="0" fillId="0" fontId="13" numFmtId="0" xfId="0" applyAlignment="1" applyFont="1">
      <alignment horizontal="center"/>
    </xf>
    <xf borderId="1" fillId="2" fontId="6" numFmtId="1" xfId="0" applyAlignment="1" applyBorder="1" applyFont="1" applyNumberFormat="1">
      <alignment horizontal="center" readingOrder="0" vertical="center"/>
    </xf>
    <xf borderId="1" fillId="0" fontId="11" numFmtId="10" xfId="0" applyAlignment="1" applyBorder="1" applyFont="1" applyNumberFormat="1">
      <alignment horizontal="center"/>
    </xf>
    <xf borderId="1" fillId="0" fontId="6" numFmtId="0" xfId="0" applyAlignment="1" applyBorder="1" applyFont="1">
      <alignment horizontal="left" readingOrder="0"/>
    </xf>
    <xf borderId="8" fillId="10" fontId="11" numFmtId="10" xfId="0" applyAlignment="1" applyBorder="1" applyFont="1" applyNumberFormat="1">
      <alignment horizontal="center"/>
    </xf>
    <xf borderId="0" fillId="13" fontId="5" numFmtId="0" xfId="0" applyAlignment="1" applyFont="1">
      <alignment horizontal="center"/>
    </xf>
    <xf borderId="1" fillId="0" fontId="6" numFmtId="0" xfId="0" applyAlignment="1" applyBorder="1" applyFont="1">
      <alignment readingOrder="0"/>
    </xf>
    <xf borderId="10" fillId="0" fontId="6" numFmtId="0" xfId="0" applyAlignment="1" applyBorder="1" applyFont="1">
      <alignment horizontal="left" readingOrder="0"/>
    </xf>
    <xf borderId="10" fillId="0" fontId="6" numFmtId="0" xfId="0" applyAlignment="1" applyBorder="1" applyFont="1">
      <alignment readingOrder="0"/>
    </xf>
    <xf borderId="10" fillId="0" fontId="5" numFmtId="1" xfId="0" applyAlignment="1" applyBorder="1" applyFont="1" applyNumberFormat="1">
      <alignment horizontal="center"/>
    </xf>
    <xf borderId="10" fillId="0" fontId="13" numFmtId="0" xfId="0" applyAlignment="1" applyBorder="1" applyFont="1">
      <alignment readingOrder="0"/>
    </xf>
    <xf borderId="8" fillId="7" fontId="5" numFmtId="0" xfId="0" applyAlignment="1" applyBorder="1" applyFont="1">
      <alignment horizontal="center" vertical="center"/>
    </xf>
    <xf borderId="1" fillId="7" fontId="6" numFmtId="0" xfId="0" applyAlignment="1" applyBorder="1" applyFont="1">
      <alignment horizontal="left" vertical="center"/>
    </xf>
    <xf borderId="1" fillId="7" fontId="6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left" readingOrder="0"/>
    </xf>
    <xf borderId="5" fillId="0" fontId="5" numFmtId="0" xfId="0" applyAlignment="1" applyBorder="1" applyFont="1">
      <alignment horizontal="center"/>
    </xf>
    <xf borderId="5" fillId="0" fontId="6" numFmtId="0" xfId="0" applyAlignment="1" applyBorder="1" applyFont="1">
      <alignment readingOrder="0"/>
    </xf>
    <xf borderId="5" fillId="0" fontId="5" numFmtId="1" xfId="0" applyAlignment="1" applyBorder="1" applyFont="1" applyNumberFormat="1">
      <alignment horizontal="center"/>
    </xf>
    <xf borderId="5" fillId="0" fontId="13" numFmtId="0" xfId="0" applyAlignment="1" applyBorder="1" applyFont="1">
      <alignment readingOrder="0"/>
    </xf>
    <xf borderId="1" fillId="9" fontId="0" numFmtId="0" xfId="0" applyAlignment="1" applyBorder="1" applyFont="1">
      <alignment horizontal="center"/>
    </xf>
    <xf borderId="1" fillId="9" fontId="0" numFmtId="1" xfId="0" applyAlignment="1" applyBorder="1" applyFont="1" applyNumberFormat="1">
      <alignment horizontal="center"/>
    </xf>
    <xf borderId="5" fillId="0" fontId="13" numFmtId="0" xfId="0" applyAlignment="1" applyBorder="1" applyFont="1">
      <alignment horizontal="left" readingOrder="0"/>
    </xf>
    <xf borderId="5" fillId="0" fontId="11" numFmtId="0" xfId="0" applyAlignment="1" applyBorder="1" applyFont="1">
      <alignment horizontal="center"/>
    </xf>
    <xf borderId="5" fillId="0" fontId="11" numFmtId="1" xfId="0" applyAlignment="1" applyBorder="1" applyFont="1" applyNumberFormat="1">
      <alignment horizontal="center"/>
    </xf>
    <xf borderId="0" fillId="0" fontId="13" numFmtId="0" xfId="0" applyFont="1"/>
    <xf borderId="0" fillId="0" fontId="24" numFmtId="1" xfId="0" applyFont="1" applyNumberFormat="1"/>
    <xf borderId="1" fillId="0" fontId="10" numFmtId="0" xfId="0" applyAlignment="1" applyBorder="1" applyFont="1">
      <alignment horizontal="center" vertical="bottom"/>
    </xf>
    <xf borderId="7" fillId="0" fontId="10" numFmtId="0" xfId="0" applyAlignment="1" applyBorder="1" applyFont="1">
      <alignment horizontal="center" vertical="bottom"/>
    </xf>
    <xf borderId="4" fillId="0" fontId="9" numFmtId="0" xfId="0" applyAlignment="1" applyBorder="1" applyFont="1">
      <alignment horizontal="center" vertical="bottom"/>
    </xf>
    <xf borderId="4" fillId="9" fontId="9" numFmtId="0" xfId="0" applyAlignment="1" applyBorder="1" applyFont="1">
      <alignment horizontal="center" vertical="bottom"/>
    </xf>
    <xf borderId="5" fillId="0" fontId="15" numFmtId="0" xfId="0" applyAlignment="1" applyBorder="1" applyFont="1">
      <alignment horizontal="center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21.63"/>
    <col customWidth="1" min="3" max="3" width="22.38"/>
    <col customWidth="1" min="4" max="4" width="26.75"/>
    <col customWidth="1" min="5" max="5" width="11.88"/>
    <col customWidth="1" min="6" max="6" width="12.75"/>
    <col customWidth="1" min="7" max="7" width="10.88"/>
    <col customWidth="1" min="8" max="8" width="12.63"/>
    <col customWidth="1" min="9" max="9" width="9.75"/>
    <col customWidth="1" min="10" max="12" width="21.63"/>
  </cols>
  <sheetData>
    <row r="1">
      <c r="A1" s="1" t="s">
        <v>0</v>
      </c>
      <c r="J1" s="2"/>
      <c r="K1" s="2"/>
      <c r="L1" s="2"/>
      <c r="M1" s="3"/>
      <c r="N1" s="2"/>
      <c r="O1" s="2"/>
      <c r="P1" s="2"/>
      <c r="Q1" s="2"/>
      <c r="R1" s="3"/>
      <c r="S1" s="3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>
      <c r="J2" s="2"/>
      <c r="K2" s="2"/>
      <c r="L2" s="2"/>
      <c r="M2" s="3"/>
      <c r="N2" s="2"/>
      <c r="O2" s="2"/>
      <c r="P2" s="2"/>
      <c r="Q2" s="2"/>
      <c r="R2" s="3"/>
      <c r="S2" s="3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>
      <c r="A3" s="5" t="s">
        <v>1</v>
      </c>
      <c r="B3" s="5" t="s">
        <v>2</v>
      </c>
      <c r="C3" s="5" t="s">
        <v>3</v>
      </c>
      <c r="D3" s="5" t="s">
        <v>4</v>
      </c>
      <c r="E3" s="6"/>
      <c r="F3" s="5" t="s">
        <v>5</v>
      </c>
      <c r="J3" s="2"/>
      <c r="K3" s="2"/>
      <c r="L3" s="2" t="s">
        <v>6</v>
      </c>
      <c r="M3" s="3"/>
      <c r="N3" s="2" t="s">
        <v>7</v>
      </c>
      <c r="R3" s="3"/>
      <c r="S3" s="3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8"/>
      <c r="K4" s="8"/>
      <c r="L4" s="8"/>
      <c r="M4" s="9" t="s">
        <v>8</v>
      </c>
      <c r="N4" s="9" t="s">
        <v>9</v>
      </c>
      <c r="O4" s="9" t="s">
        <v>10</v>
      </c>
      <c r="P4" s="9" t="s">
        <v>11</v>
      </c>
      <c r="Q4" s="9">
        <v>2018.0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>
      <c r="A5" s="10" t="s">
        <v>13</v>
      </c>
      <c r="B5" s="11" t="s">
        <v>14</v>
      </c>
      <c r="C5" s="12" t="s">
        <v>13</v>
      </c>
      <c r="D5" s="13" t="s">
        <v>15</v>
      </c>
      <c r="E5" s="14">
        <v>12920.0</v>
      </c>
      <c r="F5" s="14">
        <v>49540.0</v>
      </c>
      <c r="G5" s="14">
        <v>54600.0</v>
      </c>
      <c r="H5" s="14">
        <v>54600.0</v>
      </c>
      <c r="I5" s="14">
        <v>70300.0</v>
      </c>
      <c r="J5" s="14"/>
      <c r="K5" s="14" t="s">
        <v>16</v>
      </c>
      <c r="L5" s="15" t="s">
        <v>17</v>
      </c>
      <c r="M5" s="16"/>
      <c r="N5" s="15">
        <v>102258.0</v>
      </c>
      <c r="O5" s="15">
        <v>115200.0</v>
      </c>
      <c r="P5" s="15">
        <v>115200.0</v>
      </c>
      <c r="Q5" s="15">
        <v>132000.0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>
      <c r="B6" s="17"/>
      <c r="C6" s="17"/>
      <c r="D6" s="18" t="s">
        <v>18</v>
      </c>
      <c r="E6" s="14">
        <v>12920.0</v>
      </c>
      <c r="F6" s="14">
        <v>48540.0</v>
      </c>
      <c r="G6" s="14">
        <v>53300.0</v>
      </c>
      <c r="H6" s="19">
        <v>53300.0</v>
      </c>
      <c r="I6" s="14">
        <v>68540.0</v>
      </c>
      <c r="J6" s="14"/>
      <c r="L6" s="15" t="s">
        <v>19</v>
      </c>
      <c r="M6" s="16"/>
      <c r="N6" s="15">
        <v>77501.0</v>
      </c>
      <c r="O6" s="15">
        <v>85500.0</v>
      </c>
      <c r="P6" s="15">
        <v>85500.0</v>
      </c>
      <c r="Q6" s="15">
        <v>112000.0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>
      <c r="B7" s="20"/>
      <c r="C7" s="12" t="s">
        <v>20</v>
      </c>
      <c r="D7" s="13" t="s">
        <v>21</v>
      </c>
      <c r="E7" s="14">
        <v>6460.0</v>
      </c>
      <c r="F7" s="19">
        <v>16792.0</v>
      </c>
      <c r="G7" s="14">
        <v>27400.0</v>
      </c>
      <c r="H7" s="14">
        <v>27400.0</v>
      </c>
      <c r="I7" s="14">
        <v>35000.0</v>
      </c>
      <c r="J7" s="14"/>
      <c r="L7" s="15" t="s">
        <v>22</v>
      </c>
      <c r="M7" s="16"/>
      <c r="N7" s="15">
        <v>21500.0</v>
      </c>
      <c r="O7" s="15">
        <v>26910.0</v>
      </c>
      <c r="P7" s="15">
        <v>32300.0</v>
      </c>
      <c r="Q7" s="15">
        <v>35600.0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>
      <c r="B8" s="17"/>
      <c r="C8" s="17"/>
      <c r="D8" s="13" t="s">
        <v>20</v>
      </c>
      <c r="E8" s="14">
        <v>13995.0</v>
      </c>
      <c r="F8" s="19">
        <v>16792.0</v>
      </c>
      <c r="G8" s="19">
        <v>18500.0</v>
      </c>
      <c r="H8" s="19">
        <v>18500.0</v>
      </c>
      <c r="I8" s="19">
        <v>25300.0</v>
      </c>
      <c r="J8" s="14"/>
      <c r="L8" s="15" t="s">
        <v>23</v>
      </c>
      <c r="M8" s="16"/>
      <c r="N8" s="15">
        <v>19400.0</v>
      </c>
      <c r="O8" s="15">
        <v>27000.0</v>
      </c>
      <c r="P8" s="15">
        <v>28000.0</v>
      </c>
      <c r="Q8" s="15">
        <v>30000.0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>
      <c r="B9" s="11" t="s">
        <v>24</v>
      </c>
      <c r="C9" s="12" t="s">
        <v>24</v>
      </c>
      <c r="D9" s="13" t="s">
        <v>25</v>
      </c>
      <c r="E9" s="14">
        <v>12920.0</v>
      </c>
      <c r="F9" s="14">
        <v>30139.0</v>
      </c>
      <c r="G9" s="19">
        <v>77000.0</v>
      </c>
      <c r="H9" s="19">
        <v>77000.0</v>
      </c>
      <c r="I9" s="19">
        <v>102000.0</v>
      </c>
      <c r="J9" s="14"/>
      <c r="L9" s="15" t="s">
        <v>26</v>
      </c>
      <c r="M9" s="16"/>
      <c r="N9" s="15">
        <v>45209.0</v>
      </c>
      <c r="O9" s="15">
        <v>49713.0</v>
      </c>
      <c r="P9" s="15">
        <v>49713.0</v>
      </c>
      <c r="Q9" s="15">
        <v>54700.0</v>
      </c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>
      <c r="B10" s="17"/>
      <c r="C10" s="17"/>
      <c r="D10" s="13" t="s">
        <v>27</v>
      </c>
      <c r="E10" s="14">
        <v>11840.0</v>
      </c>
      <c r="F10" s="14">
        <v>39500.0</v>
      </c>
      <c r="G10" s="14">
        <v>47400.0</v>
      </c>
      <c r="H10" s="14">
        <v>47400.0</v>
      </c>
      <c r="I10" s="14">
        <v>54000.0</v>
      </c>
      <c r="J10" s="14"/>
      <c r="L10" s="15" t="s">
        <v>28</v>
      </c>
      <c r="M10" s="16"/>
      <c r="N10" s="15">
        <v>23700.0</v>
      </c>
      <c r="O10" s="15">
        <v>26070.0</v>
      </c>
      <c r="P10" s="15">
        <v>26100.0</v>
      </c>
      <c r="Q10" s="15">
        <v>29000.0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>
      <c r="B11" s="17"/>
      <c r="C11" s="12" t="s">
        <v>29</v>
      </c>
      <c r="D11" s="13" t="s">
        <v>30</v>
      </c>
      <c r="E11" s="14">
        <v>18300.0</v>
      </c>
      <c r="F11" s="19">
        <v>30139.0</v>
      </c>
      <c r="G11" s="19">
        <v>37700.0</v>
      </c>
      <c r="H11" s="19">
        <v>37700.0</v>
      </c>
      <c r="I11" s="19">
        <v>40000.0</v>
      </c>
      <c r="J11" s="14"/>
      <c r="L11" s="15" t="s">
        <v>31</v>
      </c>
      <c r="M11" s="16"/>
      <c r="N11" s="15">
        <v>59202.0</v>
      </c>
      <c r="O11" s="15">
        <v>65200.0</v>
      </c>
      <c r="P11" s="15">
        <v>65200.0</v>
      </c>
      <c r="Q11" s="15">
        <v>82500.0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>
      <c r="B12" s="17"/>
      <c r="C12" s="17"/>
      <c r="D12" s="13" t="s">
        <v>29</v>
      </c>
      <c r="E12" s="21">
        <v>18299.0</v>
      </c>
      <c r="F12" s="14">
        <v>35400.0</v>
      </c>
      <c r="G12" s="14">
        <v>41500.0</v>
      </c>
      <c r="H12" s="14">
        <v>41500.0</v>
      </c>
      <c r="I12" s="14">
        <v>48200.0</v>
      </c>
      <c r="J12" s="14"/>
      <c r="L12" s="15" t="s">
        <v>32</v>
      </c>
      <c r="M12" s="16"/>
      <c r="N12" s="15">
        <v>39827.0</v>
      </c>
      <c r="O12" s="15">
        <v>43810.0</v>
      </c>
      <c r="P12" s="15">
        <v>43810.0</v>
      </c>
      <c r="Q12" s="15">
        <v>52200.0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>
      <c r="B13" s="17"/>
      <c r="C13" s="12" t="s">
        <v>33</v>
      </c>
      <c r="D13" s="13" t="s">
        <v>34</v>
      </c>
      <c r="E13" s="14">
        <v>16146.0</v>
      </c>
      <c r="F13" s="14">
        <v>32292.0</v>
      </c>
      <c r="G13" s="14">
        <v>35600.0</v>
      </c>
      <c r="H13" s="14">
        <v>35600.0</v>
      </c>
      <c r="I13" s="14">
        <v>90000.0</v>
      </c>
      <c r="J13" s="14"/>
      <c r="L13" s="15" t="s">
        <v>35</v>
      </c>
      <c r="M13" s="16"/>
      <c r="N13" s="15">
        <v>67813.0</v>
      </c>
      <c r="O13" s="15">
        <v>74600.0</v>
      </c>
      <c r="P13" s="15">
        <v>74600.0</v>
      </c>
      <c r="Q13" s="15">
        <v>85000.0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>
      <c r="B14" s="17"/>
      <c r="C14" s="17"/>
      <c r="D14" s="13" t="s">
        <v>36</v>
      </c>
      <c r="E14" s="14">
        <v>13455.0</v>
      </c>
      <c r="F14" s="14">
        <v>19700.0</v>
      </c>
      <c r="G14" s="14">
        <v>26900.0</v>
      </c>
      <c r="H14" s="14">
        <v>26900.0</v>
      </c>
      <c r="I14" s="14">
        <v>39600.0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>
      <c r="B15" s="17"/>
      <c r="C15" s="17"/>
      <c r="D15" s="13" t="s">
        <v>37</v>
      </c>
      <c r="E15" s="21">
        <v>18299.0</v>
      </c>
      <c r="F15" s="14">
        <v>33650.0</v>
      </c>
      <c r="G15" s="14">
        <v>41200.0</v>
      </c>
      <c r="H15" s="14">
        <v>41200.0</v>
      </c>
      <c r="I15" s="14">
        <v>54600.0</v>
      </c>
      <c r="J15" s="14"/>
      <c r="K15" s="14" t="s">
        <v>38</v>
      </c>
      <c r="L15" s="15" t="s">
        <v>38</v>
      </c>
      <c r="M15" s="16"/>
      <c r="N15" s="15">
        <v>61400.0</v>
      </c>
      <c r="O15" s="15">
        <v>67600.0</v>
      </c>
      <c r="P15" s="15">
        <v>67600.0</v>
      </c>
      <c r="Q15" s="15">
        <v>74300.0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>
      <c r="A16" s="22"/>
      <c r="B16" s="23"/>
      <c r="C16" s="23"/>
      <c r="D16" s="24"/>
      <c r="E16" s="25"/>
      <c r="F16" s="25"/>
      <c r="G16" s="25"/>
      <c r="H16" s="25"/>
      <c r="I16" s="25"/>
      <c r="J16" s="14"/>
      <c r="L16" s="15" t="s">
        <v>39</v>
      </c>
      <c r="M16" s="16"/>
      <c r="N16" s="15">
        <v>153900.0</v>
      </c>
      <c r="O16" s="15">
        <v>163900.0</v>
      </c>
      <c r="P16" s="15">
        <v>163900.0</v>
      </c>
      <c r="Q16" s="15">
        <v>203200.0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>
      <c r="A17" s="10" t="s">
        <v>40</v>
      </c>
      <c r="B17" s="11" t="s">
        <v>41</v>
      </c>
      <c r="C17" s="12" t="s">
        <v>42</v>
      </c>
      <c r="D17" s="13" t="s">
        <v>42</v>
      </c>
      <c r="E17" s="14">
        <v>13024.0</v>
      </c>
      <c r="F17" s="14">
        <v>34500.0</v>
      </c>
      <c r="G17" s="14">
        <v>40000.0</v>
      </c>
      <c r="H17" s="14">
        <v>40000.0</v>
      </c>
      <c r="I17" s="14">
        <v>58600.0</v>
      </c>
      <c r="J17" s="14"/>
      <c r="L17" s="15" t="s">
        <v>43</v>
      </c>
      <c r="M17" s="16"/>
      <c r="N17" s="15">
        <v>94700.0</v>
      </c>
      <c r="O17" s="15">
        <v>106100.0</v>
      </c>
      <c r="P17" s="15">
        <v>106100.0</v>
      </c>
      <c r="Q17" s="15">
        <v>127300.0</v>
      </c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>
      <c r="B18" s="17"/>
      <c r="C18" s="17"/>
      <c r="D18" s="13" t="s">
        <v>44</v>
      </c>
      <c r="E18" s="14">
        <v>11840.0</v>
      </c>
      <c r="F18" s="14">
        <v>41400.0</v>
      </c>
      <c r="G18" s="14">
        <v>46000.0</v>
      </c>
      <c r="H18" s="14">
        <v>46000.0</v>
      </c>
      <c r="I18" s="14">
        <v>53400.0</v>
      </c>
      <c r="J18" s="14"/>
      <c r="L18" s="15" t="s">
        <v>45</v>
      </c>
      <c r="M18" s="16"/>
      <c r="N18" s="15">
        <v>23700.0</v>
      </c>
      <c r="O18" s="15">
        <v>26100.0</v>
      </c>
      <c r="P18" s="15">
        <v>26100.0</v>
      </c>
      <c r="Q18" s="15">
        <v>40000.0</v>
      </c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>
      <c r="B19" s="17"/>
      <c r="C19" s="17"/>
      <c r="D19" s="13" t="s">
        <v>46</v>
      </c>
      <c r="E19" s="14">
        <v>9688.0</v>
      </c>
      <c r="F19" s="19">
        <v>18430.0</v>
      </c>
      <c r="G19" s="19">
        <v>28400.0</v>
      </c>
      <c r="H19" s="19">
        <v>28400.0</v>
      </c>
      <c r="I19" s="19">
        <v>36200.0</v>
      </c>
      <c r="J19" s="14"/>
      <c r="L19" s="15" t="s">
        <v>47</v>
      </c>
      <c r="M19" s="16"/>
      <c r="N19" s="15">
        <v>28000.0</v>
      </c>
      <c r="O19" s="15">
        <v>32100.0</v>
      </c>
      <c r="P19" s="15">
        <v>32100.0</v>
      </c>
      <c r="Q19" s="15">
        <v>40000.0</v>
      </c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>
      <c r="B20" s="17"/>
      <c r="C20" s="12" t="s">
        <v>41</v>
      </c>
      <c r="D20" s="13" t="s">
        <v>41</v>
      </c>
      <c r="E20" s="14">
        <v>13995.0</v>
      </c>
      <c r="F20" s="19">
        <v>28000.0</v>
      </c>
      <c r="G20" s="19">
        <v>32100.0</v>
      </c>
      <c r="H20" s="19">
        <v>32100.0</v>
      </c>
      <c r="I20" s="19">
        <v>40000.0</v>
      </c>
      <c r="J20" s="14"/>
      <c r="L20" s="26" t="s">
        <v>40</v>
      </c>
      <c r="M20" s="27"/>
      <c r="N20" s="26">
        <v>32300.0</v>
      </c>
      <c r="O20" s="26">
        <v>35500.0</v>
      </c>
      <c r="P20" s="26">
        <v>35500.0</v>
      </c>
      <c r="Q20" s="26">
        <v>40800.0</v>
      </c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>
      <c r="B21" s="17"/>
      <c r="C21" s="17"/>
      <c r="D21" s="28" t="s">
        <v>48</v>
      </c>
      <c r="E21" s="14">
        <v>9700.0</v>
      </c>
      <c r="F21" s="14">
        <v>14500.0</v>
      </c>
      <c r="G21" s="14">
        <v>22000.0</v>
      </c>
      <c r="H21" s="14">
        <v>22000.0</v>
      </c>
      <c r="I21" s="14">
        <v>28500.0</v>
      </c>
      <c r="J21" s="14"/>
      <c r="L21" s="15" t="s">
        <v>49</v>
      </c>
      <c r="M21" s="16"/>
      <c r="N21" s="15">
        <v>9100.0</v>
      </c>
      <c r="O21" s="15">
        <v>10000.0</v>
      </c>
      <c r="P21" s="15">
        <v>10000.0</v>
      </c>
      <c r="Q21" s="15">
        <v>11500.0</v>
      </c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>
      <c r="B22" s="17"/>
      <c r="C22" s="17"/>
      <c r="D22" s="13" t="s">
        <v>50</v>
      </c>
      <c r="E22" s="14">
        <v>8073.0</v>
      </c>
      <c r="F22" s="14">
        <v>10670.0</v>
      </c>
      <c r="G22" s="14">
        <v>20700.0</v>
      </c>
      <c r="H22" s="14">
        <v>20700.0</v>
      </c>
      <c r="I22" s="14">
        <v>26400.0</v>
      </c>
      <c r="J22" s="14"/>
      <c r="L22" s="15" t="s">
        <v>51</v>
      </c>
      <c r="M22" s="16"/>
      <c r="N22" s="15">
        <v>23700.0</v>
      </c>
      <c r="O22" s="15">
        <v>35600.0</v>
      </c>
      <c r="P22" s="15">
        <v>35600.0</v>
      </c>
      <c r="Q22" s="15">
        <v>42000.0</v>
      </c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>
      <c r="B23" s="17"/>
      <c r="C23" s="12" t="s">
        <v>52</v>
      </c>
      <c r="D23" s="13" t="s">
        <v>53</v>
      </c>
      <c r="E23" s="14">
        <v>17761.0</v>
      </c>
      <c r="F23" s="14">
        <v>24360.0</v>
      </c>
      <c r="G23" s="14">
        <v>35500.0</v>
      </c>
      <c r="H23" s="14">
        <v>35500.0</v>
      </c>
      <c r="I23" s="14">
        <v>42300.0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>
      <c r="B24" s="17"/>
      <c r="C24" s="17"/>
      <c r="D24" s="13" t="s">
        <v>54</v>
      </c>
      <c r="E24" s="14">
        <v>9690.0</v>
      </c>
      <c r="F24" s="14">
        <v>17650.0</v>
      </c>
      <c r="G24" s="14">
        <v>28400.0</v>
      </c>
      <c r="H24" s="14">
        <v>28400.0</v>
      </c>
      <c r="I24" s="14">
        <v>35300.0</v>
      </c>
      <c r="J24" s="14"/>
      <c r="K24" s="14" t="s">
        <v>55</v>
      </c>
      <c r="L24" s="15" t="s">
        <v>55</v>
      </c>
      <c r="M24" s="16"/>
      <c r="N24" s="15">
        <v>96876.0</v>
      </c>
      <c r="O24" s="15">
        <v>107700.0</v>
      </c>
      <c r="P24" s="15">
        <v>107700.0</v>
      </c>
      <c r="Q24" s="15">
        <v>112000.0</v>
      </c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>
      <c r="B25" s="17"/>
      <c r="C25" s="17"/>
      <c r="D25" s="18" t="s">
        <v>52</v>
      </c>
      <c r="E25" s="14">
        <v>21528.0</v>
      </c>
      <c r="F25" s="14">
        <v>67800.0</v>
      </c>
      <c r="G25" s="14">
        <v>87200.0</v>
      </c>
      <c r="H25" s="14">
        <v>87200.0</v>
      </c>
      <c r="I25" s="14">
        <v>95900.0</v>
      </c>
      <c r="J25" s="14"/>
      <c r="L25" s="15" t="s">
        <v>56</v>
      </c>
      <c r="M25" s="16"/>
      <c r="N25" s="15">
        <v>69966.0</v>
      </c>
      <c r="O25" s="15">
        <v>77000.0</v>
      </c>
      <c r="P25" s="15">
        <v>77000.0</v>
      </c>
      <c r="Q25" s="15">
        <v>90000.0</v>
      </c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>
      <c r="B26" s="11" t="s">
        <v>40</v>
      </c>
      <c r="C26" s="12" t="s">
        <v>57</v>
      </c>
      <c r="D26" s="13" t="s">
        <v>57</v>
      </c>
      <c r="E26" s="14">
        <v>10764.0</v>
      </c>
      <c r="F26" s="14">
        <v>32300.0</v>
      </c>
      <c r="G26" s="14">
        <v>35500.0</v>
      </c>
      <c r="H26" s="14">
        <v>35500.0</v>
      </c>
      <c r="I26" s="14">
        <v>44350.0</v>
      </c>
      <c r="J26" s="14"/>
      <c r="L26" s="15" t="s">
        <v>58</v>
      </c>
      <c r="M26" s="16"/>
      <c r="N26" s="15">
        <v>78577.0</v>
      </c>
      <c r="O26" s="15">
        <v>90400.0</v>
      </c>
      <c r="P26" s="15">
        <v>90400.0</v>
      </c>
      <c r="Q26" s="15">
        <v>93120.0</v>
      </c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>
      <c r="B27" s="17"/>
      <c r="C27" s="17"/>
      <c r="D27" s="13" t="s">
        <v>59</v>
      </c>
      <c r="E27" s="14">
        <v>9688.0</v>
      </c>
      <c r="F27" s="14">
        <v>32300.0</v>
      </c>
      <c r="G27" s="14">
        <v>33100.0</v>
      </c>
      <c r="H27" s="14">
        <v>33100.0</v>
      </c>
      <c r="I27" s="14">
        <v>40220.0</v>
      </c>
      <c r="J27" s="14"/>
      <c r="L27" s="15" t="s">
        <v>60</v>
      </c>
      <c r="M27" s="16"/>
      <c r="N27" s="15">
        <v>57049.0</v>
      </c>
      <c r="O27" s="15">
        <v>62800.0</v>
      </c>
      <c r="P27" s="15">
        <v>62800.0</v>
      </c>
      <c r="Q27" s="15">
        <v>65000.0</v>
      </c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>
      <c r="B28" s="17"/>
      <c r="C28" s="17"/>
      <c r="D28" s="13" t="s">
        <v>61</v>
      </c>
      <c r="E28" s="14">
        <v>8611.0</v>
      </c>
      <c r="F28" s="14">
        <v>32300.0</v>
      </c>
      <c r="G28" s="14">
        <v>42700.0</v>
      </c>
      <c r="H28" s="14">
        <v>42700.0</v>
      </c>
      <c r="I28" s="14">
        <v>49540.0</v>
      </c>
      <c r="J28" s="14"/>
      <c r="L28" s="15" t="s">
        <v>62</v>
      </c>
      <c r="M28" s="16"/>
      <c r="N28" s="15">
        <v>26910.0</v>
      </c>
      <c r="O28" s="15">
        <v>31000.0</v>
      </c>
      <c r="P28" s="15">
        <v>31000.0</v>
      </c>
      <c r="Q28" s="15">
        <v>40000.0</v>
      </c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>
      <c r="B29" s="17"/>
      <c r="C29" s="12" t="s">
        <v>63</v>
      </c>
      <c r="D29" s="13" t="s">
        <v>64</v>
      </c>
      <c r="E29" s="14">
        <v>10656.0</v>
      </c>
      <c r="F29" s="14">
        <v>18550.0</v>
      </c>
      <c r="G29" s="14">
        <v>23700.0</v>
      </c>
      <c r="H29" s="14">
        <v>23700.0</v>
      </c>
      <c r="I29" s="14">
        <v>31560.0</v>
      </c>
      <c r="J29" s="14"/>
      <c r="L29" s="15" t="s">
        <v>65</v>
      </c>
      <c r="M29" s="16"/>
      <c r="N29" s="15">
        <v>40900.0</v>
      </c>
      <c r="O29" s="15">
        <v>45000.0</v>
      </c>
      <c r="P29" s="15">
        <v>45000.0</v>
      </c>
      <c r="Q29" s="15">
        <v>50000.0</v>
      </c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>
      <c r="B30" s="17"/>
      <c r="C30" s="17"/>
      <c r="D30" s="13" t="s">
        <v>66</v>
      </c>
      <c r="E30" s="14">
        <v>13774.0</v>
      </c>
      <c r="F30" s="14">
        <v>25400.0</v>
      </c>
      <c r="G30" s="14">
        <v>29600.0</v>
      </c>
      <c r="H30" s="14">
        <v>29600.0</v>
      </c>
      <c r="I30" s="14">
        <v>37400.0</v>
      </c>
      <c r="J30" s="14"/>
      <c r="L30" s="15" t="s">
        <v>67</v>
      </c>
      <c r="M30" s="16"/>
      <c r="N30" s="15">
        <v>53820.0</v>
      </c>
      <c r="O30" s="15">
        <v>59200.0</v>
      </c>
      <c r="P30" s="15">
        <v>59200.0</v>
      </c>
      <c r="Q30" s="15">
        <v>65000.0</v>
      </c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>
      <c r="B31" s="17"/>
      <c r="C31" s="17"/>
      <c r="D31" s="13" t="s">
        <v>68</v>
      </c>
      <c r="E31" s="14">
        <v>5382.0</v>
      </c>
      <c r="F31" s="19">
        <v>23700.0</v>
      </c>
      <c r="G31" s="19">
        <v>35600.0</v>
      </c>
      <c r="H31" s="19">
        <v>35600.0</v>
      </c>
      <c r="I31" s="19">
        <v>42000.0</v>
      </c>
      <c r="J31" s="14"/>
      <c r="L31" s="26" t="s">
        <v>69</v>
      </c>
      <c r="M31" s="27"/>
      <c r="N31" s="26">
        <v>16146.0</v>
      </c>
      <c r="O31" s="26">
        <v>17800.0</v>
      </c>
      <c r="P31" s="26">
        <v>17800.0</v>
      </c>
      <c r="Q31" s="26">
        <v>20500.0</v>
      </c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>
      <c r="B32" s="17"/>
      <c r="C32" s="12" t="s">
        <v>70</v>
      </c>
      <c r="D32" s="13" t="s">
        <v>70</v>
      </c>
      <c r="E32" s="14">
        <v>8394.0</v>
      </c>
      <c r="F32" s="14">
        <v>43056.0</v>
      </c>
      <c r="G32" s="14">
        <v>42700.0</v>
      </c>
      <c r="H32" s="14">
        <v>42700.0</v>
      </c>
      <c r="I32" s="14">
        <v>49550.0</v>
      </c>
      <c r="J32" s="14"/>
      <c r="L32" s="15" t="s">
        <v>71</v>
      </c>
      <c r="M32" s="16"/>
      <c r="N32" s="15">
        <v>16146.0</v>
      </c>
      <c r="O32" s="15">
        <v>17800.0</v>
      </c>
      <c r="P32" s="15">
        <v>17800.0</v>
      </c>
      <c r="Q32" s="15">
        <v>31000.0</v>
      </c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>
      <c r="B33" s="17"/>
      <c r="C33" s="17"/>
      <c r="D33" s="18" t="s">
        <v>72</v>
      </c>
      <c r="E33" s="19">
        <v>4037.0</v>
      </c>
      <c r="F33" s="19">
        <v>8073.0</v>
      </c>
      <c r="G33" s="19">
        <v>11900.0</v>
      </c>
      <c r="H33" s="19">
        <v>11900.0</v>
      </c>
      <c r="I33" s="19">
        <v>13400.0</v>
      </c>
      <c r="J33" s="8"/>
      <c r="K33" s="8"/>
      <c r="L33" s="8"/>
      <c r="M33" s="8"/>
      <c r="N33" s="9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>
      <c r="A34" s="22"/>
      <c r="B34" s="23"/>
      <c r="C34" s="23"/>
      <c r="D34" s="24"/>
      <c r="E34" s="25"/>
      <c r="F34" s="25"/>
      <c r="G34" s="25"/>
      <c r="H34" s="25"/>
      <c r="I34" s="25"/>
      <c r="J34" s="14"/>
      <c r="K34" s="14" t="s">
        <v>73</v>
      </c>
      <c r="L34" s="15" t="s">
        <v>74</v>
      </c>
      <c r="M34" s="16"/>
      <c r="N34" s="15">
        <v>42000.0</v>
      </c>
      <c r="O34" s="15">
        <v>49700.0</v>
      </c>
      <c r="P34" s="15">
        <v>49700.0</v>
      </c>
      <c r="Q34" s="15">
        <v>63000.0</v>
      </c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>
      <c r="A35" s="10" t="s">
        <v>75</v>
      </c>
      <c r="B35" s="11" t="s">
        <v>75</v>
      </c>
      <c r="C35" s="12" t="s">
        <v>76</v>
      </c>
      <c r="D35" s="13" t="s">
        <v>76</v>
      </c>
      <c r="E35" s="14">
        <v>8600.0</v>
      </c>
      <c r="F35" s="14">
        <v>23681.0</v>
      </c>
      <c r="G35" s="14">
        <v>42000.0</v>
      </c>
      <c r="H35" s="14">
        <v>42000.0</v>
      </c>
      <c r="I35" s="14">
        <v>55000.0</v>
      </c>
      <c r="J35" s="14"/>
      <c r="L35" s="15" t="s">
        <v>77</v>
      </c>
      <c r="M35" s="16"/>
      <c r="N35" s="15">
        <v>99000.0</v>
      </c>
      <c r="O35" s="15">
        <v>108700.0</v>
      </c>
      <c r="P35" s="15">
        <v>108700.0</v>
      </c>
      <c r="Q35" s="15">
        <v>125000.0</v>
      </c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>
      <c r="B36" s="17"/>
      <c r="C36" s="17"/>
      <c r="D36" s="13" t="s">
        <v>78</v>
      </c>
      <c r="E36" s="14">
        <v>10656.0</v>
      </c>
      <c r="F36" s="14">
        <v>23681.0</v>
      </c>
      <c r="G36" s="14">
        <v>23700.0</v>
      </c>
      <c r="H36" s="14">
        <v>23700.0</v>
      </c>
      <c r="I36" s="14">
        <v>26000.0</v>
      </c>
      <c r="J36" s="14"/>
      <c r="L36" s="26" t="s">
        <v>79</v>
      </c>
      <c r="M36" s="27"/>
      <c r="N36" s="26">
        <v>5400.0</v>
      </c>
      <c r="O36" s="26">
        <v>6000.0</v>
      </c>
      <c r="P36" s="26">
        <v>6000.0</v>
      </c>
      <c r="Q36" s="26">
        <v>6600.0</v>
      </c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>
      <c r="B37" s="17"/>
      <c r="C37" s="12" t="s">
        <v>80</v>
      </c>
      <c r="D37" s="13" t="s">
        <v>81</v>
      </c>
      <c r="E37" s="14">
        <v>5400.0</v>
      </c>
      <c r="F37" s="14">
        <v>23681.0</v>
      </c>
      <c r="G37" s="14">
        <v>37900.0</v>
      </c>
      <c r="H37" s="14">
        <v>37900.0</v>
      </c>
      <c r="I37" s="14">
        <v>45000.0</v>
      </c>
      <c r="J37" s="14"/>
      <c r="L37" s="15" t="s">
        <v>82</v>
      </c>
      <c r="M37" s="15">
        <v>4037.0</v>
      </c>
      <c r="N37" s="15">
        <v>8073.0</v>
      </c>
      <c r="O37" s="15">
        <v>11900.0</v>
      </c>
      <c r="P37" s="15">
        <v>11900.0</v>
      </c>
      <c r="Q37" s="15">
        <v>13400.0</v>
      </c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>
      <c r="B38" s="20"/>
      <c r="C38" s="17"/>
      <c r="D38" s="18" t="s">
        <v>83</v>
      </c>
      <c r="E38" s="14">
        <v>13990.0</v>
      </c>
      <c r="F38" s="14">
        <v>34400.0</v>
      </c>
      <c r="G38" s="14">
        <v>37900.0</v>
      </c>
      <c r="H38" s="14">
        <v>37900.0</v>
      </c>
      <c r="I38" s="14">
        <v>49000.0</v>
      </c>
      <c r="J38" s="14"/>
      <c r="L38" s="26" t="s">
        <v>84</v>
      </c>
      <c r="M38" s="27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>
      <c r="B39" s="11" t="s">
        <v>85</v>
      </c>
      <c r="C39" s="12" t="s">
        <v>86</v>
      </c>
      <c r="D39" s="13" t="s">
        <v>87</v>
      </c>
      <c r="E39" s="14">
        <v>10656.0</v>
      </c>
      <c r="F39" s="14">
        <v>14300.0</v>
      </c>
      <c r="G39" s="14">
        <v>17700.0</v>
      </c>
      <c r="H39" s="14">
        <v>17700.0</v>
      </c>
      <c r="I39" s="14">
        <v>25000.0</v>
      </c>
      <c r="J39" s="14"/>
      <c r="L39" s="15" t="s">
        <v>88</v>
      </c>
      <c r="M39" s="16"/>
      <c r="N39" s="15">
        <v>88265.0</v>
      </c>
      <c r="O39" s="15">
        <v>98000.0</v>
      </c>
      <c r="P39" s="15">
        <v>98000.0</v>
      </c>
      <c r="Q39" s="15">
        <v>98000.0</v>
      </c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>
      <c r="B40" s="17"/>
      <c r="C40" s="17"/>
      <c r="D40" s="29" t="s">
        <v>86</v>
      </c>
      <c r="E40" s="14">
        <v>19375.0</v>
      </c>
      <c r="F40" s="30">
        <v>26264.0</v>
      </c>
      <c r="G40" s="31">
        <v>31000.0</v>
      </c>
      <c r="H40" s="31">
        <v>31000.0</v>
      </c>
      <c r="I40" s="31">
        <v>40000.0</v>
      </c>
      <c r="J40" s="14"/>
      <c r="L40" s="15" t="s">
        <v>89</v>
      </c>
      <c r="M40" s="16"/>
      <c r="N40" s="15">
        <v>26910.0</v>
      </c>
      <c r="O40" s="15">
        <v>45000.0</v>
      </c>
      <c r="P40" s="15">
        <v>45000.0</v>
      </c>
      <c r="Q40" s="15">
        <v>51000.0</v>
      </c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>
      <c r="B41" s="17"/>
      <c r="C41" s="12" t="s">
        <v>85</v>
      </c>
      <c r="D41" s="28" t="s">
        <v>90</v>
      </c>
      <c r="E41" s="21">
        <v>9150.0</v>
      </c>
      <c r="F41" s="14">
        <v>16146.0</v>
      </c>
      <c r="G41" s="14">
        <v>23900.0</v>
      </c>
      <c r="H41" s="14">
        <v>23900.0</v>
      </c>
      <c r="I41" s="14">
        <v>30100.0</v>
      </c>
      <c r="J41" s="14"/>
      <c r="L41" s="15" t="s">
        <v>91</v>
      </c>
      <c r="M41" s="16"/>
      <c r="N41" s="16"/>
      <c r="O41" s="16"/>
      <c r="P41" s="16"/>
      <c r="Q41" s="15">
        <v>10000.0</v>
      </c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>
      <c r="B42" s="17"/>
      <c r="C42" s="17"/>
      <c r="D42" s="13" t="s">
        <v>85</v>
      </c>
      <c r="E42" s="14">
        <v>8612.0</v>
      </c>
      <c r="F42" s="14">
        <v>16146.0</v>
      </c>
      <c r="G42" s="14">
        <v>23900.0</v>
      </c>
      <c r="H42" s="14">
        <v>23900.0</v>
      </c>
      <c r="I42" s="14">
        <v>30100.0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>
      <c r="A43" s="32"/>
      <c r="B43" s="23"/>
      <c r="C43" s="23"/>
      <c r="D43" s="24"/>
      <c r="E43" s="25"/>
      <c r="F43" s="25"/>
      <c r="G43" s="25"/>
      <c r="H43" s="25"/>
      <c r="I43" s="25"/>
      <c r="J43" s="14"/>
      <c r="K43" s="14" t="s">
        <v>92</v>
      </c>
      <c r="L43" s="15" t="s">
        <v>93</v>
      </c>
      <c r="M43" s="16"/>
      <c r="N43" s="15">
        <v>129975.0</v>
      </c>
      <c r="O43" s="15">
        <v>150700.0</v>
      </c>
      <c r="P43" s="15">
        <v>156100.0</v>
      </c>
      <c r="Q43" s="15">
        <v>165800.0</v>
      </c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>
      <c r="A44" s="33" t="s">
        <v>26</v>
      </c>
      <c r="B44" s="11" t="s">
        <v>26</v>
      </c>
      <c r="C44" s="12" t="s">
        <v>94</v>
      </c>
      <c r="D44" s="13" t="s">
        <v>26</v>
      </c>
      <c r="E44" s="14">
        <v>12920.0</v>
      </c>
      <c r="F44" s="19">
        <v>45209.0</v>
      </c>
      <c r="G44" s="19">
        <v>49713.0</v>
      </c>
      <c r="H44" s="19">
        <v>49713.0</v>
      </c>
      <c r="I44" s="19">
        <v>54700.0</v>
      </c>
      <c r="J44" s="14"/>
      <c r="L44" s="15" t="s">
        <v>95</v>
      </c>
      <c r="M44" s="16"/>
      <c r="N44" s="15">
        <v>91494.0</v>
      </c>
      <c r="O44" s="15">
        <v>106600.0</v>
      </c>
      <c r="P44" s="15">
        <v>106600.0</v>
      </c>
      <c r="Q44" s="15">
        <v>161500.0</v>
      </c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>
      <c r="B45" s="17"/>
      <c r="C45" s="17"/>
      <c r="D45" s="13" t="s">
        <v>96</v>
      </c>
      <c r="E45" s="14">
        <v>13000.0</v>
      </c>
      <c r="F45" s="14">
        <v>29063.0</v>
      </c>
      <c r="G45" s="14">
        <v>34340.0</v>
      </c>
      <c r="H45" s="14">
        <v>34340.0</v>
      </c>
      <c r="I45" s="14">
        <v>48400.0</v>
      </c>
      <c r="J45" s="14"/>
      <c r="L45" s="15" t="s">
        <v>97</v>
      </c>
      <c r="M45" s="16"/>
      <c r="N45" s="15">
        <v>107640.0</v>
      </c>
      <c r="O45" s="15">
        <v>118400.0</v>
      </c>
      <c r="P45" s="15">
        <v>118400.0</v>
      </c>
      <c r="Q45" s="15">
        <v>119000.0</v>
      </c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>
      <c r="B46" s="17"/>
      <c r="C46" s="12" t="s">
        <v>65</v>
      </c>
      <c r="D46" s="13" t="s">
        <v>65</v>
      </c>
      <c r="E46" s="14">
        <v>11303.0</v>
      </c>
      <c r="F46" s="31">
        <v>40900.0</v>
      </c>
      <c r="G46" s="31">
        <v>45000.0</v>
      </c>
      <c r="H46" s="31">
        <v>45000.0</v>
      </c>
      <c r="I46" s="31">
        <v>50000.0</v>
      </c>
      <c r="J46" s="14"/>
      <c r="L46" s="15" t="s">
        <v>98</v>
      </c>
      <c r="M46" s="16"/>
      <c r="N46" s="15">
        <v>43056.0</v>
      </c>
      <c r="O46" s="15">
        <v>47400.0</v>
      </c>
      <c r="P46" s="15">
        <v>47400.0</v>
      </c>
      <c r="Q46" s="15">
        <v>50000.0</v>
      </c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>
      <c r="B47" s="17"/>
      <c r="C47" s="17"/>
      <c r="D47" s="13" t="s">
        <v>99</v>
      </c>
      <c r="E47" s="14">
        <v>13455.0</v>
      </c>
      <c r="F47" s="14">
        <v>29063.0</v>
      </c>
      <c r="G47" s="14">
        <v>29600.0</v>
      </c>
      <c r="H47" s="14">
        <v>29600.0</v>
      </c>
      <c r="I47" s="14">
        <v>45000.0</v>
      </c>
      <c r="J47" s="14"/>
      <c r="L47" s="15" t="s">
        <v>100</v>
      </c>
      <c r="M47" s="16"/>
      <c r="N47" s="15">
        <v>45209.0</v>
      </c>
      <c r="O47" s="15">
        <v>50200.0</v>
      </c>
      <c r="P47" s="15">
        <v>50200.0</v>
      </c>
      <c r="Q47" s="15">
        <v>70000.0</v>
      </c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>
      <c r="B48" s="11" t="s">
        <v>101</v>
      </c>
      <c r="C48" s="12" t="s">
        <v>102</v>
      </c>
      <c r="D48" s="13" t="s">
        <v>103</v>
      </c>
      <c r="E48" s="14">
        <v>14000.0</v>
      </c>
      <c r="F48" s="14">
        <v>29063.0</v>
      </c>
      <c r="G48" s="14">
        <v>29500.0</v>
      </c>
      <c r="H48" s="14">
        <v>29500.0</v>
      </c>
      <c r="I48" s="14">
        <v>45300.0</v>
      </c>
      <c r="J48" s="14"/>
      <c r="L48" s="15" t="s">
        <v>104</v>
      </c>
      <c r="M48" s="16"/>
      <c r="N48" s="15">
        <v>62431.0</v>
      </c>
      <c r="O48" s="15">
        <v>47200.0</v>
      </c>
      <c r="P48" s="15">
        <v>47200.0</v>
      </c>
      <c r="Q48" s="15">
        <v>59000.0</v>
      </c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>
      <c r="B49" s="17"/>
      <c r="C49" s="17"/>
      <c r="D49" s="28" t="s">
        <v>102</v>
      </c>
      <c r="E49" s="14">
        <v>8600.0</v>
      </c>
      <c r="F49" s="34">
        <v>21500.0</v>
      </c>
      <c r="G49" s="34">
        <v>22700.0</v>
      </c>
      <c r="H49" s="34">
        <v>22700.0</v>
      </c>
      <c r="I49" s="30">
        <v>28100.0</v>
      </c>
      <c r="J49" s="14"/>
      <c r="L49" s="15" t="s">
        <v>105</v>
      </c>
      <c r="M49" s="16"/>
      <c r="N49" s="15">
        <v>37674.0</v>
      </c>
      <c r="O49" s="15">
        <v>66400.0</v>
      </c>
      <c r="P49" s="15">
        <v>66400.0</v>
      </c>
      <c r="Q49" s="15">
        <v>76500.0</v>
      </c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>
      <c r="B50" s="17"/>
      <c r="C50" s="12" t="s">
        <v>101</v>
      </c>
      <c r="D50" s="13" t="s">
        <v>106</v>
      </c>
      <c r="E50" s="14">
        <v>14000.0</v>
      </c>
      <c r="F50" s="14">
        <v>19400.0</v>
      </c>
      <c r="G50" s="14">
        <v>36000.0</v>
      </c>
      <c r="H50" s="14">
        <v>36000.0</v>
      </c>
      <c r="I50" s="14">
        <v>40000.0</v>
      </c>
      <c r="J50" s="14"/>
      <c r="L50" s="15" t="s">
        <v>107</v>
      </c>
      <c r="M50" s="16"/>
      <c r="N50" s="16"/>
      <c r="O50" s="15">
        <v>8900.0</v>
      </c>
      <c r="P50" s="15">
        <v>8900.0</v>
      </c>
      <c r="Q50" s="15">
        <v>10200.0</v>
      </c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>
      <c r="B51" s="17"/>
      <c r="C51" s="17"/>
      <c r="D51" s="13" t="s">
        <v>108</v>
      </c>
      <c r="E51" s="14">
        <v>14000.0</v>
      </c>
      <c r="F51" s="14">
        <v>39827.0</v>
      </c>
      <c r="G51" s="14">
        <v>54000.0</v>
      </c>
      <c r="H51" s="14">
        <v>54000.0</v>
      </c>
      <c r="I51" s="14">
        <v>62200.0</v>
      </c>
      <c r="J51" s="14"/>
      <c r="L51" s="15" t="s">
        <v>109</v>
      </c>
      <c r="M51" s="16"/>
      <c r="N51" s="16"/>
      <c r="O51" s="15">
        <v>13100.0</v>
      </c>
      <c r="P51" s="15">
        <v>13100.0</v>
      </c>
      <c r="Q51" s="15">
        <v>18000.0</v>
      </c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>
      <c r="B52" s="17"/>
      <c r="C52" s="17"/>
      <c r="D52" s="13" t="s">
        <v>101</v>
      </c>
      <c r="E52" s="14">
        <v>18300.0</v>
      </c>
      <c r="F52" s="19">
        <v>69966.0</v>
      </c>
      <c r="G52" s="19">
        <v>77000.0</v>
      </c>
      <c r="H52" s="19">
        <v>77000.0</v>
      </c>
      <c r="I52" s="19">
        <v>90000.0</v>
      </c>
      <c r="J52" s="14"/>
      <c r="L52" s="15" t="s">
        <v>30</v>
      </c>
      <c r="M52" s="16"/>
      <c r="N52" s="15">
        <v>30139.0</v>
      </c>
      <c r="O52" s="15">
        <v>37700.0</v>
      </c>
      <c r="P52" s="15">
        <v>37700.0</v>
      </c>
      <c r="Q52" s="15">
        <v>40000.0</v>
      </c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>
      <c r="B53" s="11" t="s">
        <v>22</v>
      </c>
      <c r="C53" s="12" t="s">
        <v>22</v>
      </c>
      <c r="D53" s="13" t="s">
        <v>110</v>
      </c>
      <c r="E53" s="14">
        <v>16146.0</v>
      </c>
      <c r="F53" s="14">
        <v>39827.0</v>
      </c>
      <c r="G53" s="14">
        <v>43060.0</v>
      </c>
      <c r="H53" s="14">
        <v>43060.0</v>
      </c>
      <c r="I53" s="14">
        <v>50000.0</v>
      </c>
      <c r="J53" s="14"/>
      <c r="L53" s="15" t="s">
        <v>111</v>
      </c>
      <c r="M53" s="16"/>
      <c r="N53" s="15">
        <v>16792.0</v>
      </c>
      <c r="O53" s="15">
        <v>18500.0</v>
      </c>
      <c r="P53" s="15">
        <v>18500.0</v>
      </c>
      <c r="Q53" s="15">
        <v>25300.0</v>
      </c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>
      <c r="B54" s="17"/>
      <c r="C54" s="17"/>
      <c r="D54" s="13" t="s">
        <v>22</v>
      </c>
      <c r="E54" s="14">
        <v>10764.0</v>
      </c>
      <c r="F54" s="19">
        <v>21500.0</v>
      </c>
      <c r="G54" s="19">
        <v>26910.0</v>
      </c>
      <c r="H54" s="19">
        <v>32300.0</v>
      </c>
      <c r="I54" s="19">
        <v>35600.0</v>
      </c>
      <c r="J54" s="14"/>
      <c r="L54" s="15" t="s">
        <v>112</v>
      </c>
      <c r="M54" s="16"/>
      <c r="N54" s="15">
        <v>6458.0</v>
      </c>
      <c r="O54" s="15">
        <v>8500.0</v>
      </c>
      <c r="P54" s="15">
        <v>8800.0</v>
      </c>
      <c r="Q54" s="15">
        <v>9700.0</v>
      </c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>
      <c r="B55" s="17"/>
      <c r="C55" s="17"/>
      <c r="D55" s="13" t="s">
        <v>113</v>
      </c>
      <c r="E55" s="14">
        <v>15070.0</v>
      </c>
      <c r="F55" s="19">
        <v>21500.0</v>
      </c>
      <c r="G55" s="14">
        <v>34900.0</v>
      </c>
      <c r="H55" s="14">
        <v>34900.0</v>
      </c>
      <c r="I55" s="14">
        <v>46500.0</v>
      </c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>
      <c r="B56" s="17"/>
      <c r="C56" s="12" t="s">
        <v>114</v>
      </c>
      <c r="D56" s="13" t="s">
        <v>115</v>
      </c>
      <c r="E56" s="14">
        <v>8612.0</v>
      </c>
      <c r="F56" s="14">
        <v>10200.0</v>
      </c>
      <c r="G56" s="14">
        <v>13400.0</v>
      </c>
      <c r="H56" s="14">
        <v>13400.0</v>
      </c>
      <c r="I56" s="14">
        <v>20000.0</v>
      </c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>
      <c r="B57" s="17"/>
      <c r="C57" s="17"/>
      <c r="D57" s="13" t="s">
        <v>114</v>
      </c>
      <c r="E57" s="14">
        <v>9042.0</v>
      </c>
      <c r="F57" s="14">
        <v>12670.0</v>
      </c>
      <c r="G57" s="14">
        <v>19000.0</v>
      </c>
      <c r="H57" s="14">
        <v>19000.0</v>
      </c>
      <c r="I57" s="14">
        <v>41900.0</v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>
      <c r="A58" s="22"/>
      <c r="B58" s="23"/>
      <c r="C58" s="23"/>
      <c r="D58" s="24"/>
      <c r="E58" s="25"/>
      <c r="F58" s="25"/>
      <c r="G58" s="25"/>
      <c r="H58" s="25"/>
      <c r="I58" s="25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>
      <c r="A59" s="10" t="s">
        <v>28</v>
      </c>
      <c r="B59" s="11" t="s">
        <v>28</v>
      </c>
      <c r="C59" s="12" t="s">
        <v>28</v>
      </c>
      <c r="D59" s="13" t="s">
        <v>28</v>
      </c>
      <c r="E59" s="14">
        <v>8700.0</v>
      </c>
      <c r="F59" s="19">
        <v>23700.0</v>
      </c>
      <c r="G59" s="19">
        <v>26070.0</v>
      </c>
      <c r="H59" s="19">
        <v>26100.0</v>
      </c>
      <c r="I59" s="19">
        <v>29000.0</v>
      </c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>
      <c r="B60" s="17"/>
      <c r="C60" s="17"/>
      <c r="D60" s="13" t="s">
        <v>116</v>
      </c>
      <c r="E60" s="14">
        <v>8700.0</v>
      </c>
      <c r="F60" s="19">
        <v>24650.0</v>
      </c>
      <c r="G60" s="19">
        <v>35530.0</v>
      </c>
      <c r="H60" s="19">
        <v>35530.0</v>
      </c>
      <c r="I60" s="19">
        <v>44300.0</v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>
      <c r="B61" s="17"/>
      <c r="C61" s="17"/>
      <c r="D61" s="13" t="s">
        <v>117</v>
      </c>
      <c r="E61" s="14">
        <v>8700.0</v>
      </c>
      <c r="F61" s="14">
        <v>13700.0</v>
      </c>
      <c r="G61" s="14">
        <v>20130.0</v>
      </c>
      <c r="H61" s="14">
        <v>20130.0</v>
      </c>
      <c r="I61" s="14">
        <v>28790.0</v>
      </c>
      <c r="J61" s="9" t="s">
        <v>118</v>
      </c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>
      <c r="B62" s="17"/>
      <c r="C62" s="12" t="s">
        <v>119</v>
      </c>
      <c r="D62" s="13" t="s">
        <v>120</v>
      </c>
      <c r="E62" s="14">
        <v>15070.0</v>
      </c>
      <c r="F62" s="14">
        <v>28540.0</v>
      </c>
      <c r="G62" s="14">
        <v>39300.0</v>
      </c>
      <c r="H62" s="14">
        <v>39300.0</v>
      </c>
      <c r="I62" s="14">
        <v>52170.0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>
      <c r="B63" s="17"/>
      <c r="C63" s="17"/>
      <c r="D63" s="13" t="s">
        <v>121</v>
      </c>
      <c r="E63" s="14">
        <v>15070.0</v>
      </c>
      <c r="F63" s="14">
        <v>28540.0</v>
      </c>
      <c r="G63" s="14">
        <v>39300.0</v>
      </c>
      <c r="H63" s="14">
        <v>39300.0</v>
      </c>
      <c r="I63" s="14">
        <v>52170.0</v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>
      <c r="B64" s="17"/>
      <c r="C64" s="17"/>
      <c r="D64" s="13" t="s">
        <v>119</v>
      </c>
      <c r="E64" s="14">
        <v>15070.0</v>
      </c>
      <c r="F64" s="14">
        <v>22970.0</v>
      </c>
      <c r="G64" s="14">
        <v>30800.0</v>
      </c>
      <c r="H64" s="14">
        <v>30800.0</v>
      </c>
      <c r="I64" s="14">
        <v>37000.0</v>
      </c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>
      <c r="B65" s="17"/>
      <c r="C65" s="12" t="s">
        <v>122</v>
      </c>
      <c r="D65" s="13" t="s">
        <v>122</v>
      </c>
      <c r="E65" s="14">
        <v>37674.0</v>
      </c>
      <c r="F65" s="14">
        <v>67450.0</v>
      </c>
      <c r="G65" s="14">
        <v>80500.0</v>
      </c>
      <c r="H65" s="14">
        <v>80500.0</v>
      </c>
      <c r="I65" s="14">
        <v>120000.0</v>
      </c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>
      <c r="B66" s="17"/>
      <c r="C66" s="17"/>
      <c r="D66" s="13" t="s">
        <v>123</v>
      </c>
      <c r="E66" s="14">
        <v>8073.0</v>
      </c>
      <c r="F66" s="14">
        <v>17340.0</v>
      </c>
      <c r="G66" s="14">
        <v>26050.0</v>
      </c>
      <c r="H66" s="14">
        <v>26050.0</v>
      </c>
      <c r="I66" s="14">
        <v>39100.0</v>
      </c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>
      <c r="B67" s="11" t="s">
        <v>124</v>
      </c>
      <c r="C67" s="12" t="s">
        <v>23</v>
      </c>
      <c r="D67" s="13" t="s">
        <v>125</v>
      </c>
      <c r="E67" s="14">
        <v>8073.0</v>
      </c>
      <c r="F67" s="14">
        <v>13370.0</v>
      </c>
      <c r="G67" s="14">
        <v>20680.0</v>
      </c>
      <c r="H67" s="14">
        <v>20680.0</v>
      </c>
      <c r="I67" s="14">
        <v>31250.0</v>
      </c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>
      <c r="B68" s="17"/>
      <c r="C68" s="17"/>
      <c r="D68" s="35" t="s">
        <v>23</v>
      </c>
      <c r="E68" s="14">
        <v>8073.0</v>
      </c>
      <c r="F68" s="19">
        <v>19400.0</v>
      </c>
      <c r="G68" s="19">
        <v>27000.0</v>
      </c>
      <c r="H68" s="19">
        <v>28000.0</v>
      </c>
      <c r="I68" s="19">
        <v>30000.0</v>
      </c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>
      <c r="B69" s="17"/>
      <c r="C69" s="12" t="s">
        <v>126</v>
      </c>
      <c r="D69" s="18" t="s">
        <v>127</v>
      </c>
      <c r="E69" s="14">
        <v>9149.0</v>
      </c>
      <c r="F69" s="14">
        <v>28000.0</v>
      </c>
      <c r="G69" s="14">
        <v>34000.0</v>
      </c>
      <c r="H69" s="14">
        <v>34000.0</v>
      </c>
      <c r="I69" s="14">
        <v>42100.0</v>
      </c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>
      <c r="B70" s="17"/>
      <c r="C70" s="17"/>
      <c r="D70" s="18" t="s">
        <v>126</v>
      </c>
      <c r="E70" s="14">
        <v>9149.0</v>
      </c>
      <c r="F70" s="14">
        <v>28000.0</v>
      </c>
      <c r="G70" s="14">
        <v>31300.0</v>
      </c>
      <c r="H70" s="14">
        <v>31300.0</v>
      </c>
      <c r="I70" s="14">
        <v>41400.0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>
      <c r="B71" s="11" t="s">
        <v>128</v>
      </c>
      <c r="C71" s="12" t="s">
        <v>129</v>
      </c>
      <c r="D71" s="18" t="s">
        <v>130</v>
      </c>
      <c r="E71" s="14">
        <v>9149.0</v>
      </c>
      <c r="F71" s="14">
        <v>28000.0</v>
      </c>
      <c r="G71" s="14">
        <v>30200.0</v>
      </c>
      <c r="H71" s="14">
        <v>30200.0</v>
      </c>
      <c r="I71" s="14">
        <v>55700.0</v>
      </c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>
      <c r="B72" s="17"/>
      <c r="C72" s="17"/>
      <c r="D72" s="18" t="s">
        <v>129</v>
      </c>
      <c r="E72" s="14">
        <v>9149.0</v>
      </c>
      <c r="F72" s="14">
        <v>28000.0</v>
      </c>
      <c r="G72" s="14">
        <v>34300.0</v>
      </c>
      <c r="H72" s="14">
        <v>34300.0</v>
      </c>
      <c r="I72" s="14">
        <v>49000.0</v>
      </c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>
      <c r="B73" s="17"/>
      <c r="C73" s="12" t="s">
        <v>128</v>
      </c>
      <c r="D73" s="18" t="s">
        <v>128</v>
      </c>
      <c r="E73" s="14">
        <v>6460.0</v>
      </c>
      <c r="F73" s="19">
        <v>16792.0</v>
      </c>
      <c r="G73" s="14">
        <v>23700.0</v>
      </c>
      <c r="H73" s="14">
        <v>23700.0</v>
      </c>
      <c r="I73" s="14">
        <v>29200.0</v>
      </c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>
      <c r="B74" s="17"/>
      <c r="C74" s="17"/>
      <c r="D74" s="18" t="s">
        <v>131</v>
      </c>
      <c r="E74" s="14">
        <v>6460.0</v>
      </c>
      <c r="F74" s="19">
        <v>16792.0</v>
      </c>
      <c r="G74" s="14">
        <v>26100.0</v>
      </c>
      <c r="H74" s="14">
        <v>26100.0</v>
      </c>
      <c r="I74" s="14">
        <v>35650.0</v>
      </c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>
      <c r="A75" s="22"/>
      <c r="B75" s="23"/>
      <c r="C75" s="23"/>
      <c r="D75" s="36"/>
      <c r="E75" s="25"/>
      <c r="F75" s="25"/>
      <c r="G75" s="25"/>
      <c r="H75" s="25"/>
      <c r="I75" s="37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>
      <c r="A76" s="10" t="s">
        <v>132</v>
      </c>
      <c r="B76" s="11" t="s">
        <v>133</v>
      </c>
      <c r="C76" s="12" t="s">
        <v>134</v>
      </c>
      <c r="D76" s="18" t="s">
        <v>135</v>
      </c>
      <c r="E76" s="14">
        <v>18299.0</v>
      </c>
      <c r="F76" s="19">
        <v>23700.0</v>
      </c>
      <c r="G76" s="14">
        <v>39300.0</v>
      </c>
      <c r="H76" s="14">
        <v>39300.0</v>
      </c>
      <c r="I76" s="14">
        <v>52500.0</v>
      </c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>
      <c r="B77" s="17"/>
      <c r="C77" s="17"/>
      <c r="D77" s="18" t="s">
        <v>136</v>
      </c>
      <c r="E77" s="38">
        <v>18299.0</v>
      </c>
      <c r="F77" s="19">
        <v>23700.0</v>
      </c>
      <c r="G77" s="14">
        <v>32600.0</v>
      </c>
      <c r="H77" s="14">
        <v>32600.0</v>
      </c>
      <c r="I77" s="14">
        <v>44600.0</v>
      </c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>
      <c r="B78" s="17"/>
      <c r="C78" s="17"/>
      <c r="D78" s="18" t="s">
        <v>137</v>
      </c>
      <c r="E78" s="14">
        <v>32292.0</v>
      </c>
      <c r="F78" s="14">
        <v>60580.0</v>
      </c>
      <c r="G78" s="14">
        <v>61400.0</v>
      </c>
      <c r="H78" s="14">
        <v>61400.0</v>
      </c>
      <c r="I78" s="14">
        <v>72400.0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>
      <c r="B79" s="17"/>
      <c r="C79" s="17"/>
      <c r="D79" s="18" t="s">
        <v>138</v>
      </c>
      <c r="E79" s="14">
        <v>32292.0</v>
      </c>
      <c r="F79" s="14">
        <v>32292.0</v>
      </c>
      <c r="G79" s="14">
        <v>35600.0</v>
      </c>
      <c r="H79" s="14">
        <v>35600.0</v>
      </c>
      <c r="I79" s="14">
        <v>45750.0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>
      <c r="B80" s="17"/>
      <c r="C80" s="12" t="s">
        <v>139</v>
      </c>
      <c r="D80" s="18" t="s">
        <v>139</v>
      </c>
      <c r="E80" s="14">
        <v>32292.0</v>
      </c>
      <c r="F80" s="19">
        <v>42985.0</v>
      </c>
      <c r="G80" s="14">
        <v>48500.0</v>
      </c>
      <c r="H80" s="14">
        <v>48500.0</v>
      </c>
      <c r="I80" s="14">
        <v>75000.0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>
      <c r="B81" s="17"/>
      <c r="C81" s="17"/>
      <c r="D81" s="18" t="s">
        <v>140</v>
      </c>
      <c r="E81" s="14">
        <v>12917.0</v>
      </c>
      <c r="F81" s="14">
        <v>32292.0</v>
      </c>
      <c r="G81" s="14">
        <v>39300.0</v>
      </c>
      <c r="H81" s="14">
        <v>39300.0</v>
      </c>
      <c r="I81" s="14">
        <v>50000.0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>
      <c r="B82" s="17"/>
      <c r="C82" s="17"/>
      <c r="D82" s="18" t="s">
        <v>141</v>
      </c>
      <c r="E82" s="14">
        <v>16146.0</v>
      </c>
      <c r="F82" s="19">
        <v>19400.0</v>
      </c>
      <c r="G82" s="14">
        <v>21400.0</v>
      </c>
      <c r="H82" s="14">
        <v>21400.0</v>
      </c>
      <c r="I82" s="14">
        <v>30540.0</v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>
      <c r="B83" s="11" t="s">
        <v>97</v>
      </c>
      <c r="C83" s="12" t="s">
        <v>142</v>
      </c>
      <c r="D83" s="18" t="s">
        <v>143</v>
      </c>
      <c r="E83" s="14">
        <v>53820.0</v>
      </c>
      <c r="F83" s="14">
        <v>85600.0</v>
      </c>
      <c r="G83" s="39">
        <v>215280.0</v>
      </c>
      <c r="H83" s="39">
        <v>215280.0</v>
      </c>
      <c r="I83" s="14">
        <v>270000.0</v>
      </c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>
      <c r="B84" s="17"/>
      <c r="C84" s="17"/>
      <c r="D84" s="18" t="s">
        <v>142</v>
      </c>
      <c r="E84" s="14">
        <v>32292.0</v>
      </c>
      <c r="F84" s="14">
        <v>32292.0</v>
      </c>
      <c r="G84" s="14">
        <v>38900.0</v>
      </c>
      <c r="H84" s="14">
        <v>38900.0</v>
      </c>
      <c r="I84" s="14">
        <v>54350.0</v>
      </c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>
      <c r="B85" s="17"/>
      <c r="C85" s="17"/>
      <c r="D85" s="18" t="s">
        <v>97</v>
      </c>
      <c r="E85" s="14">
        <v>32292.0</v>
      </c>
      <c r="F85" s="19">
        <v>107640.0</v>
      </c>
      <c r="G85" s="19">
        <v>118400.0</v>
      </c>
      <c r="H85" s="19">
        <v>118400.0</v>
      </c>
      <c r="I85" s="19">
        <v>119000.0</v>
      </c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>
      <c r="B86" s="17"/>
      <c r="C86" s="12" t="s">
        <v>97</v>
      </c>
      <c r="D86" s="18" t="s">
        <v>144</v>
      </c>
      <c r="E86" s="14">
        <v>24757.0</v>
      </c>
      <c r="F86" s="31">
        <v>57049.0</v>
      </c>
      <c r="G86" s="14">
        <v>73500.0</v>
      </c>
      <c r="H86" s="14">
        <v>73500.0</v>
      </c>
      <c r="I86" s="14">
        <v>92340.0</v>
      </c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>
      <c r="B87" s="17"/>
      <c r="C87" s="17"/>
      <c r="D87" s="18" t="s">
        <v>145</v>
      </c>
      <c r="E87" s="14">
        <v>24757.0</v>
      </c>
      <c r="F87" s="31">
        <v>57049.0</v>
      </c>
      <c r="G87" s="14">
        <v>59300.0</v>
      </c>
      <c r="H87" s="14">
        <v>59300.0</v>
      </c>
      <c r="I87" s="14">
        <v>62000.0</v>
      </c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>
      <c r="B88" s="17"/>
      <c r="C88" s="17"/>
      <c r="D88" s="18" t="s">
        <v>146</v>
      </c>
      <c r="E88" s="14">
        <v>24757.0</v>
      </c>
      <c r="F88" s="31">
        <v>57049.0</v>
      </c>
      <c r="G88" s="14">
        <v>59300.0</v>
      </c>
      <c r="H88" s="14">
        <v>59300.0</v>
      </c>
      <c r="I88" s="14">
        <v>62000.0</v>
      </c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>
      <c r="B89" s="17"/>
      <c r="C89" s="17"/>
      <c r="D89" s="18" t="s">
        <v>147</v>
      </c>
      <c r="E89" s="14">
        <v>24757.0</v>
      </c>
      <c r="F89" s="31">
        <v>57049.0</v>
      </c>
      <c r="G89" s="31">
        <v>62800.0</v>
      </c>
      <c r="H89" s="31">
        <v>62800.0</v>
      </c>
      <c r="I89" s="31">
        <v>65000.0</v>
      </c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>
      <c r="B90" s="11" t="s">
        <v>55</v>
      </c>
      <c r="C90" s="12" t="s">
        <v>55</v>
      </c>
      <c r="D90" s="18" t="s">
        <v>55</v>
      </c>
      <c r="E90" s="14">
        <v>32292.0</v>
      </c>
      <c r="F90" s="19">
        <v>96876.0</v>
      </c>
      <c r="G90" s="19">
        <v>107700.0</v>
      </c>
      <c r="H90" s="19">
        <v>107700.0</v>
      </c>
      <c r="I90" s="19">
        <v>112000.0</v>
      </c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>
      <c r="B91" s="17"/>
      <c r="C91" s="17"/>
      <c r="D91" s="18" t="s">
        <v>148</v>
      </c>
      <c r="E91" s="14">
        <v>32290.0</v>
      </c>
      <c r="F91" s="31">
        <v>57049.0</v>
      </c>
      <c r="G91" s="14">
        <v>73700.0</v>
      </c>
      <c r="H91" s="14">
        <v>73700.0</v>
      </c>
      <c r="I91" s="14">
        <v>100000.0</v>
      </c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>
      <c r="B92" s="17"/>
      <c r="C92" s="17"/>
      <c r="D92" s="18" t="s">
        <v>149</v>
      </c>
      <c r="E92" s="14">
        <v>8073.0</v>
      </c>
      <c r="F92" s="14">
        <v>17222.0</v>
      </c>
      <c r="G92" s="14">
        <v>29600.0</v>
      </c>
      <c r="H92" s="14">
        <v>29600.0</v>
      </c>
      <c r="I92" s="14">
        <v>50180.0</v>
      </c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>
      <c r="B93" s="17"/>
      <c r="C93" s="17"/>
      <c r="D93" s="18" t="s">
        <v>150</v>
      </c>
      <c r="E93" s="14">
        <v>24757.0</v>
      </c>
      <c r="F93" s="19">
        <v>56834.0</v>
      </c>
      <c r="G93" s="19">
        <v>59300.0</v>
      </c>
      <c r="H93" s="19">
        <v>59300.0</v>
      </c>
      <c r="I93" s="19">
        <v>95790.0</v>
      </c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>
      <c r="B94" s="17"/>
      <c r="C94" s="12" t="s">
        <v>151</v>
      </c>
      <c r="D94" s="18" t="s">
        <v>152</v>
      </c>
      <c r="E94" s="14">
        <v>24757.0</v>
      </c>
      <c r="F94" s="30">
        <v>48438.0</v>
      </c>
      <c r="G94" s="30">
        <v>53300.0</v>
      </c>
      <c r="H94" s="30">
        <v>53300.0</v>
      </c>
      <c r="I94" s="30">
        <v>56000.0</v>
      </c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>
      <c r="B95" s="17"/>
      <c r="C95" s="17"/>
      <c r="D95" s="18" t="s">
        <v>153</v>
      </c>
      <c r="E95" s="14">
        <v>24757.0</v>
      </c>
      <c r="F95" s="14">
        <v>17222.0</v>
      </c>
      <c r="G95" s="14">
        <v>59300.0</v>
      </c>
      <c r="H95" s="14">
        <v>59300.0</v>
      </c>
      <c r="I95" s="14">
        <v>95790.0</v>
      </c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>
      <c r="B96" s="17"/>
      <c r="C96" s="17"/>
      <c r="D96" s="18" t="s">
        <v>154</v>
      </c>
      <c r="E96" s="14">
        <v>24757.0</v>
      </c>
      <c r="F96" s="14">
        <v>17222.0</v>
      </c>
      <c r="G96" s="14">
        <v>59300.0</v>
      </c>
      <c r="H96" s="14">
        <v>59300.0</v>
      </c>
      <c r="I96" s="14">
        <v>95790.0</v>
      </c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>
      <c r="B97" s="11" t="s">
        <v>92</v>
      </c>
      <c r="C97" s="12" t="s">
        <v>92</v>
      </c>
      <c r="D97" s="40" t="s">
        <v>155</v>
      </c>
      <c r="E97" s="14">
        <v>53820.0</v>
      </c>
      <c r="F97" s="14">
        <v>75348.0</v>
      </c>
      <c r="G97" s="14">
        <v>82900.0</v>
      </c>
      <c r="H97" s="14">
        <v>82900.0</v>
      </c>
      <c r="I97" s="14">
        <v>104000.0</v>
      </c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>
      <c r="B98" s="17"/>
      <c r="C98" s="17"/>
      <c r="D98" s="18" t="s">
        <v>92</v>
      </c>
      <c r="E98" s="14">
        <v>53820.0</v>
      </c>
      <c r="F98" s="19">
        <v>129975.0</v>
      </c>
      <c r="G98" s="19">
        <v>150700.0</v>
      </c>
      <c r="H98" s="19">
        <v>156100.0</v>
      </c>
      <c r="I98" s="19">
        <v>165800.0</v>
      </c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>
      <c r="B99" s="17"/>
      <c r="C99" s="17"/>
      <c r="D99" s="18" t="s">
        <v>156</v>
      </c>
      <c r="E99" s="14">
        <v>10764.0</v>
      </c>
      <c r="F99" s="14">
        <v>17222.0</v>
      </c>
      <c r="G99" s="14">
        <v>28400.0</v>
      </c>
      <c r="H99" s="14">
        <v>28400.0</v>
      </c>
      <c r="I99" s="14">
        <v>39300.0</v>
      </c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>
      <c r="B100" s="17"/>
      <c r="C100" s="17"/>
      <c r="D100" s="18" t="s">
        <v>157</v>
      </c>
      <c r="E100" s="14">
        <v>34445.0</v>
      </c>
      <c r="F100" s="14">
        <v>64584.0</v>
      </c>
      <c r="G100" s="14">
        <v>70700.0</v>
      </c>
      <c r="H100" s="14">
        <v>70700.0</v>
      </c>
      <c r="I100" s="14">
        <v>83590.0</v>
      </c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>
      <c r="B101" s="17"/>
      <c r="C101" s="12" t="s">
        <v>158</v>
      </c>
      <c r="D101" s="18" t="s">
        <v>158</v>
      </c>
      <c r="E101" s="14">
        <v>34445.0</v>
      </c>
      <c r="F101" s="14">
        <v>64584.0</v>
      </c>
      <c r="G101" s="14">
        <v>77000.0</v>
      </c>
      <c r="H101" s="14">
        <v>77000.0</v>
      </c>
      <c r="I101" s="14">
        <v>93560.0</v>
      </c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>
      <c r="B102" s="17"/>
      <c r="C102" s="17"/>
      <c r="D102" s="18" t="s">
        <v>159</v>
      </c>
      <c r="E102" s="14">
        <v>19375.0</v>
      </c>
      <c r="F102" s="14">
        <v>92656.0</v>
      </c>
      <c r="G102" s="14">
        <v>134550.0</v>
      </c>
      <c r="H102" s="14">
        <v>134550.0</v>
      </c>
      <c r="I102" s="14">
        <v>145600.0</v>
      </c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>
      <c r="B103" s="17"/>
      <c r="C103" s="17"/>
      <c r="D103" s="18" t="s">
        <v>160</v>
      </c>
      <c r="E103" s="14">
        <v>26910.0</v>
      </c>
      <c r="F103" s="14">
        <v>75348.0</v>
      </c>
      <c r="G103" s="14">
        <v>77000.0</v>
      </c>
      <c r="H103" s="14">
        <v>77000.0</v>
      </c>
      <c r="I103" s="14">
        <v>89650.0</v>
      </c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>
      <c r="B104" s="11" t="s">
        <v>88</v>
      </c>
      <c r="C104" s="12" t="s">
        <v>161</v>
      </c>
      <c r="D104" s="18" t="s">
        <v>162</v>
      </c>
      <c r="E104" s="14">
        <v>13990.0</v>
      </c>
      <c r="F104" s="14">
        <v>26910.0</v>
      </c>
      <c r="G104" s="14">
        <v>29700.0</v>
      </c>
      <c r="H104" s="14">
        <v>29700.0</v>
      </c>
      <c r="I104" s="14">
        <v>39760.0</v>
      </c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>
      <c r="B105" s="17"/>
      <c r="C105" s="17"/>
      <c r="D105" s="18" t="s">
        <v>163</v>
      </c>
      <c r="E105" s="14">
        <v>13990.0</v>
      </c>
      <c r="F105" s="14">
        <v>26910.0</v>
      </c>
      <c r="G105" s="14">
        <v>29700.0</v>
      </c>
      <c r="H105" s="14">
        <v>29700.0</v>
      </c>
      <c r="I105" s="14">
        <v>39760.0</v>
      </c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>
      <c r="B106" s="17"/>
      <c r="C106" s="17"/>
      <c r="D106" s="18" t="s">
        <v>164</v>
      </c>
      <c r="E106" s="14">
        <v>14000.0</v>
      </c>
      <c r="F106" s="14">
        <v>26910.0</v>
      </c>
      <c r="G106" s="14">
        <v>30800.0</v>
      </c>
      <c r="H106" s="14">
        <v>30800.0</v>
      </c>
      <c r="I106" s="14">
        <v>45600.0</v>
      </c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>
      <c r="B107" s="17"/>
      <c r="C107" s="17"/>
      <c r="D107" s="18" t="s">
        <v>165</v>
      </c>
      <c r="E107" s="14">
        <v>13990.0</v>
      </c>
      <c r="F107" s="14">
        <v>26910.0</v>
      </c>
      <c r="G107" s="14">
        <v>30800.0</v>
      </c>
      <c r="H107" s="14">
        <v>30800.0</v>
      </c>
      <c r="I107" s="14">
        <v>45600.0</v>
      </c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>
      <c r="B108" s="17"/>
      <c r="C108" s="12" t="s">
        <v>88</v>
      </c>
      <c r="D108" s="18" t="s">
        <v>166</v>
      </c>
      <c r="E108" s="14">
        <v>42985.0</v>
      </c>
      <c r="F108" s="14">
        <v>92656.0</v>
      </c>
      <c r="G108" s="19">
        <v>98000.0</v>
      </c>
      <c r="H108" s="19">
        <v>98000.0</v>
      </c>
      <c r="I108" s="14">
        <v>120000.0</v>
      </c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>
      <c r="B109" s="17"/>
      <c r="C109" s="17"/>
      <c r="D109" s="18" t="s">
        <v>88</v>
      </c>
      <c r="E109" s="14">
        <v>42985.0</v>
      </c>
      <c r="F109" s="14">
        <v>92656.0</v>
      </c>
      <c r="G109" s="19">
        <v>98000.0</v>
      </c>
      <c r="H109" s="19">
        <v>98000.0</v>
      </c>
      <c r="I109" s="19">
        <v>120000.0</v>
      </c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>
      <c r="B110" s="17"/>
      <c r="C110" s="17"/>
      <c r="D110" s="18" t="s">
        <v>167</v>
      </c>
      <c r="E110" s="14">
        <v>42985.0</v>
      </c>
      <c r="F110" s="14">
        <v>92656.0</v>
      </c>
      <c r="G110" s="19">
        <v>98000.0</v>
      </c>
      <c r="H110" s="19">
        <v>98000.0</v>
      </c>
      <c r="I110" s="14">
        <v>120000.0</v>
      </c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>
      <c r="B111" s="11" t="s">
        <v>168</v>
      </c>
      <c r="C111" s="12" t="s">
        <v>169</v>
      </c>
      <c r="D111" s="18" t="s">
        <v>170</v>
      </c>
      <c r="E111" s="14">
        <v>10764.0</v>
      </c>
      <c r="F111" s="14">
        <v>21528.0</v>
      </c>
      <c r="G111" s="14">
        <v>26000.0</v>
      </c>
      <c r="H111" s="14">
        <v>26000.0</v>
      </c>
      <c r="I111" s="14">
        <v>28900.0</v>
      </c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>
      <c r="B112" s="17"/>
      <c r="C112" s="17"/>
      <c r="D112" s="18" t="s">
        <v>171</v>
      </c>
      <c r="E112" s="14">
        <v>12917.0</v>
      </c>
      <c r="F112" s="14">
        <v>32292.0</v>
      </c>
      <c r="G112" s="14">
        <v>35500.0</v>
      </c>
      <c r="H112" s="14">
        <v>35500.0</v>
      </c>
      <c r="I112" s="14">
        <v>46200.0</v>
      </c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>
      <c r="B113" s="17"/>
      <c r="C113" s="17"/>
      <c r="D113" s="18" t="s">
        <v>172</v>
      </c>
      <c r="E113" s="14">
        <v>12917.0</v>
      </c>
      <c r="F113" s="19">
        <v>42985.0</v>
      </c>
      <c r="G113" s="14">
        <v>47400.0</v>
      </c>
      <c r="H113" s="14">
        <v>47400.0</v>
      </c>
      <c r="I113" s="14">
        <v>49000.0</v>
      </c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>
      <c r="B114" s="17"/>
      <c r="C114" s="17"/>
      <c r="D114" s="18" t="s">
        <v>173</v>
      </c>
      <c r="E114" s="14">
        <v>12917.0</v>
      </c>
      <c r="F114" s="19">
        <v>42985.0</v>
      </c>
      <c r="G114" s="14">
        <v>47400.0</v>
      </c>
      <c r="H114" s="14">
        <v>47400.0</v>
      </c>
      <c r="I114" s="14">
        <v>55230.0</v>
      </c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>
      <c r="B115" s="17"/>
      <c r="C115" s="17"/>
      <c r="D115" s="18" t="s">
        <v>174</v>
      </c>
      <c r="E115" s="14">
        <v>12917.0</v>
      </c>
      <c r="F115" s="19">
        <v>42985.0</v>
      </c>
      <c r="G115" s="14">
        <v>64700.0</v>
      </c>
      <c r="H115" s="14">
        <v>64700.0</v>
      </c>
      <c r="I115" s="14">
        <v>78200.0</v>
      </c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>
      <c r="B116" s="17"/>
      <c r="C116" s="12" t="s">
        <v>175</v>
      </c>
      <c r="D116" s="18" t="s">
        <v>176</v>
      </c>
      <c r="E116" s="14">
        <v>13993.0</v>
      </c>
      <c r="F116" s="19">
        <v>42985.0</v>
      </c>
      <c r="G116" s="14">
        <v>68700.0</v>
      </c>
      <c r="H116" s="14">
        <v>68700.0</v>
      </c>
      <c r="I116" s="14">
        <v>77250.0</v>
      </c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>
      <c r="B117" s="17"/>
      <c r="C117" s="17"/>
      <c r="D117" s="18" t="s">
        <v>177</v>
      </c>
      <c r="E117" s="39">
        <v>13993.0</v>
      </c>
      <c r="F117" s="14">
        <v>32922.0</v>
      </c>
      <c r="G117" s="14">
        <v>35600.0</v>
      </c>
      <c r="H117" s="14">
        <v>35600.0</v>
      </c>
      <c r="I117" s="14">
        <v>45000.0</v>
      </c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>
      <c r="B118" s="17"/>
      <c r="C118" s="17"/>
      <c r="D118" s="18" t="s">
        <v>178</v>
      </c>
      <c r="E118" s="39">
        <v>13993.0</v>
      </c>
      <c r="F118" s="19">
        <v>53820.0</v>
      </c>
      <c r="G118" s="19">
        <v>59200.0</v>
      </c>
      <c r="H118" s="19">
        <v>59200.0</v>
      </c>
      <c r="I118" s="19">
        <v>65000.0</v>
      </c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>
      <c r="B119" s="17"/>
      <c r="C119" s="17"/>
      <c r="D119" s="18" t="s">
        <v>179</v>
      </c>
      <c r="E119" s="39">
        <v>13993.0</v>
      </c>
      <c r="F119" s="14">
        <v>26000.0</v>
      </c>
      <c r="G119" s="14">
        <v>30140.0</v>
      </c>
      <c r="H119" s="14">
        <v>30140.0</v>
      </c>
      <c r="I119" s="14">
        <v>37900.0</v>
      </c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>
      <c r="A120" s="36"/>
      <c r="B120" s="23"/>
      <c r="C120" s="23"/>
      <c r="D120" s="36"/>
      <c r="E120" s="25"/>
      <c r="F120" s="25"/>
      <c r="G120" s="25"/>
      <c r="H120" s="25"/>
      <c r="I120" s="25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>
      <c r="A121" s="10" t="s">
        <v>180</v>
      </c>
      <c r="B121" s="11" t="s">
        <v>158</v>
      </c>
      <c r="C121" s="12" t="s">
        <v>181</v>
      </c>
      <c r="D121" s="18" t="s">
        <v>182</v>
      </c>
      <c r="E121" s="14">
        <v>31215.0</v>
      </c>
      <c r="F121" s="14">
        <v>77960.0</v>
      </c>
      <c r="G121" s="14">
        <v>107700.0</v>
      </c>
      <c r="H121" s="14">
        <v>107700.0</v>
      </c>
      <c r="I121" s="14">
        <v>155040.0</v>
      </c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>
      <c r="B122" s="17"/>
      <c r="C122" s="17"/>
      <c r="D122" s="18" t="s">
        <v>183</v>
      </c>
      <c r="E122" s="14">
        <v>31215.0</v>
      </c>
      <c r="F122" s="14">
        <v>77960.0</v>
      </c>
      <c r="G122" s="14">
        <v>107700.0</v>
      </c>
      <c r="H122" s="14">
        <v>107700.0</v>
      </c>
      <c r="I122" s="14">
        <v>155040.0</v>
      </c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>
      <c r="B123" s="17"/>
      <c r="C123" s="17"/>
      <c r="D123" s="18" t="s">
        <v>184</v>
      </c>
      <c r="E123" s="14">
        <v>31215.0</v>
      </c>
      <c r="F123" s="14">
        <v>35750.0</v>
      </c>
      <c r="G123" s="14">
        <v>41400.0</v>
      </c>
      <c r="H123" s="14">
        <v>41400.0</v>
      </c>
      <c r="I123" s="14">
        <v>50000.0</v>
      </c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>
      <c r="B124" s="17"/>
      <c r="C124" s="17"/>
      <c r="D124" s="18" t="s">
        <v>185</v>
      </c>
      <c r="E124" s="14">
        <v>51667.0</v>
      </c>
      <c r="F124" s="14">
        <v>72340.0</v>
      </c>
      <c r="G124" s="14">
        <v>89300.0</v>
      </c>
      <c r="H124" s="14">
        <v>89300.0</v>
      </c>
      <c r="I124" s="14">
        <v>120000.0</v>
      </c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>
      <c r="B125" s="17"/>
      <c r="C125" s="12" t="s">
        <v>186</v>
      </c>
      <c r="D125" s="18" t="s">
        <v>187</v>
      </c>
      <c r="E125" s="14">
        <v>51667.0</v>
      </c>
      <c r="F125" s="14">
        <v>51980.0</v>
      </c>
      <c r="G125" s="14">
        <v>52100.0</v>
      </c>
      <c r="H125" s="14">
        <v>52100.0</v>
      </c>
      <c r="I125" s="14">
        <v>59500.0</v>
      </c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>
      <c r="B126" s="17"/>
      <c r="C126" s="17"/>
      <c r="D126" s="18" t="s">
        <v>186</v>
      </c>
      <c r="E126" s="14">
        <v>51667.0</v>
      </c>
      <c r="F126" s="14">
        <v>67890.0</v>
      </c>
      <c r="G126" s="14">
        <v>81700.0</v>
      </c>
      <c r="H126" s="14">
        <v>81700.0</v>
      </c>
      <c r="I126" s="14">
        <v>97400.0</v>
      </c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>
      <c r="B127" s="17"/>
      <c r="C127" s="17"/>
      <c r="D127" s="18" t="s">
        <v>16</v>
      </c>
      <c r="E127" s="14">
        <v>53820.0</v>
      </c>
      <c r="F127" s="19">
        <v>102258.0</v>
      </c>
      <c r="G127" s="19">
        <v>115200.0</v>
      </c>
      <c r="H127" s="19">
        <v>115200.0</v>
      </c>
      <c r="I127" s="19">
        <v>132000.0</v>
      </c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>
      <c r="B128" s="11" t="s">
        <v>188</v>
      </c>
      <c r="C128" s="12" t="s">
        <v>188</v>
      </c>
      <c r="D128" s="18" t="s">
        <v>189</v>
      </c>
      <c r="E128" s="14">
        <v>12916.0</v>
      </c>
      <c r="F128" s="14">
        <v>23640.0</v>
      </c>
      <c r="G128" s="14">
        <v>35600.0</v>
      </c>
      <c r="H128" s="14">
        <v>35600.0</v>
      </c>
      <c r="I128" s="14">
        <v>44800.0</v>
      </c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>
      <c r="B129" s="17"/>
      <c r="C129" s="17"/>
      <c r="D129" s="18" t="s">
        <v>188</v>
      </c>
      <c r="E129" s="19">
        <v>21528.0</v>
      </c>
      <c r="F129" s="19">
        <v>78577.0</v>
      </c>
      <c r="G129" s="19">
        <v>90400.0</v>
      </c>
      <c r="H129" s="19">
        <v>90400.0</v>
      </c>
      <c r="I129" s="19">
        <v>93120.0</v>
      </c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>
      <c r="B130" s="17"/>
      <c r="C130" s="17"/>
      <c r="D130" s="18" t="s">
        <v>190</v>
      </c>
      <c r="E130" s="14">
        <v>21528.0</v>
      </c>
      <c r="F130" s="14">
        <v>69966.0</v>
      </c>
      <c r="G130" s="14">
        <v>77000.0</v>
      </c>
      <c r="H130" s="14">
        <v>77000.0</v>
      </c>
      <c r="I130" s="14">
        <v>85000.0</v>
      </c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>
      <c r="B131" s="17"/>
      <c r="C131" s="17"/>
      <c r="D131" s="18" t="s">
        <v>191</v>
      </c>
      <c r="E131" s="14">
        <v>12916.0</v>
      </c>
      <c r="F131" s="14">
        <v>24350.0</v>
      </c>
      <c r="G131" s="14">
        <v>32000.0</v>
      </c>
      <c r="H131" s="14">
        <v>32000.0</v>
      </c>
      <c r="I131" s="14">
        <v>40300.0</v>
      </c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>
      <c r="B132" s="17"/>
      <c r="C132" s="12" t="s">
        <v>192</v>
      </c>
      <c r="D132" s="18" t="s">
        <v>193</v>
      </c>
      <c r="E132" s="14">
        <v>43056.0</v>
      </c>
      <c r="F132" s="14">
        <v>55470.0</v>
      </c>
      <c r="G132" s="14">
        <v>62500.0</v>
      </c>
      <c r="H132" s="14">
        <v>62500.0</v>
      </c>
      <c r="I132" s="14">
        <v>64400.0</v>
      </c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>
      <c r="B133" s="17"/>
      <c r="C133" s="17"/>
      <c r="D133" s="18" t="s">
        <v>194</v>
      </c>
      <c r="E133" s="14">
        <v>43056.0</v>
      </c>
      <c r="F133" s="14">
        <v>67950.0</v>
      </c>
      <c r="G133" s="14">
        <v>86500.0</v>
      </c>
      <c r="H133" s="14">
        <v>86500.0</v>
      </c>
      <c r="I133" s="14">
        <v>92000.0</v>
      </c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>
      <c r="B134" s="17"/>
      <c r="C134" s="17"/>
      <c r="D134" s="18" t="s">
        <v>195</v>
      </c>
      <c r="E134" s="14">
        <v>43056.0</v>
      </c>
      <c r="F134" s="14">
        <v>67950.0</v>
      </c>
      <c r="G134" s="14">
        <v>86500.0</v>
      </c>
      <c r="H134" s="14">
        <v>86500.0</v>
      </c>
      <c r="I134" s="14">
        <v>92000.0</v>
      </c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>
      <c r="B135" s="17"/>
      <c r="C135" s="17"/>
      <c r="D135" s="18" t="s">
        <v>196</v>
      </c>
      <c r="E135" s="14">
        <v>12916.0</v>
      </c>
      <c r="F135" s="14">
        <v>23570.0</v>
      </c>
      <c r="G135" s="14">
        <v>35600.0</v>
      </c>
      <c r="H135" s="14">
        <v>35600.0</v>
      </c>
      <c r="I135" s="14">
        <v>44500.0</v>
      </c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>
      <c r="B136" s="11" t="s">
        <v>73</v>
      </c>
      <c r="C136" s="12" t="s">
        <v>73</v>
      </c>
      <c r="D136" s="18" t="s">
        <v>73</v>
      </c>
      <c r="E136" s="14">
        <v>53820.0</v>
      </c>
      <c r="F136" s="19">
        <v>99000.0</v>
      </c>
      <c r="G136" s="19">
        <v>108700.0</v>
      </c>
      <c r="H136" s="19">
        <v>108700.0</v>
      </c>
      <c r="I136" s="19">
        <v>125000.0</v>
      </c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>
      <c r="B137" s="17"/>
      <c r="C137" s="17"/>
      <c r="D137" s="18" t="s">
        <v>197</v>
      </c>
      <c r="E137" s="14">
        <v>32292.0</v>
      </c>
      <c r="F137" s="14">
        <v>58960.0</v>
      </c>
      <c r="G137" s="14">
        <v>71000.0</v>
      </c>
      <c r="H137" s="14">
        <v>71000.0</v>
      </c>
      <c r="I137" s="14">
        <v>82000.0</v>
      </c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>
      <c r="B138" s="17"/>
      <c r="C138" s="17"/>
      <c r="D138" s="18" t="s">
        <v>198</v>
      </c>
      <c r="E138" s="14">
        <v>21528.0</v>
      </c>
      <c r="F138" s="14">
        <v>26750.0</v>
      </c>
      <c r="G138" s="14">
        <v>32300.0</v>
      </c>
      <c r="H138" s="14">
        <v>32300.0</v>
      </c>
      <c r="I138" s="14">
        <v>90000.0</v>
      </c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>
      <c r="B139" s="17"/>
      <c r="C139" s="12" t="s">
        <v>199</v>
      </c>
      <c r="D139" s="18" t="s">
        <v>200</v>
      </c>
      <c r="E139" s="14">
        <v>21528.0</v>
      </c>
      <c r="F139" s="19">
        <v>42000.0</v>
      </c>
      <c r="G139" s="19">
        <v>49700.0</v>
      </c>
      <c r="H139" s="19">
        <v>49700.0</v>
      </c>
      <c r="I139" s="19">
        <v>63000.0</v>
      </c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>
      <c r="B140" s="17"/>
      <c r="C140" s="17"/>
      <c r="D140" s="18" t="s">
        <v>199</v>
      </c>
      <c r="E140" s="14">
        <v>43056.0</v>
      </c>
      <c r="F140" s="19">
        <v>42000.0</v>
      </c>
      <c r="G140" s="14">
        <v>60500.0</v>
      </c>
      <c r="H140" s="14">
        <v>60500.0</v>
      </c>
      <c r="I140" s="14">
        <v>74700.0</v>
      </c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>
      <c r="B141" s="17"/>
      <c r="C141" s="17"/>
      <c r="D141" s="18" t="s">
        <v>201</v>
      </c>
      <c r="E141" s="38">
        <v>43056.0</v>
      </c>
      <c r="F141" s="19">
        <v>42000.0</v>
      </c>
      <c r="G141" s="14">
        <v>73200.0</v>
      </c>
      <c r="H141" s="14">
        <v>73200.0</v>
      </c>
      <c r="I141" s="14">
        <v>81000.0</v>
      </c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>
      <c r="B142" s="11" t="s">
        <v>202</v>
      </c>
      <c r="C142" s="12" t="s">
        <v>202</v>
      </c>
      <c r="D142" s="18" t="s">
        <v>203</v>
      </c>
      <c r="E142" s="14">
        <v>21528.0</v>
      </c>
      <c r="F142" s="14">
        <v>28400.0</v>
      </c>
      <c r="G142" s="14">
        <v>35500.0</v>
      </c>
      <c r="H142" s="14">
        <v>35500.0</v>
      </c>
      <c r="I142" s="14">
        <v>37300.0</v>
      </c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>
      <c r="B143" s="17"/>
      <c r="C143" s="17"/>
      <c r="D143" s="18" t="s">
        <v>204</v>
      </c>
      <c r="E143" s="14">
        <v>26910.0</v>
      </c>
      <c r="F143" s="14">
        <v>39612.0</v>
      </c>
      <c r="G143" s="14">
        <v>61700.0</v>
      </c>
      <c r="H143" s="14">
        <v>61700.0</v>
      </c>
      <c r="I143" s="14">
        <v>74500.0</v>
      </c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>
      <c r="B144" s="17"/>
      <c r="C144" s="17"/>
      <c r="D144" s="18" t="s">
        <v>202</v>
      </c>
      <c r="E144" s="14">
        <v>16146.0</v>
      </c>
      <c r="F144" s="14">
        <v>39612.0</v>
      </c>
      <c r="G144" s="14">
        <v>49000.0</v>
      </c>
      <c r="H144" s="14">
        <v>49000.0</v>
      </c>
      <c r="I144" s="14">
        <v>71000.0</v>
      </c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>
      <c r="B145" s="17"/>
      <c r="C145" s="17"/>
      <c r="D145" s="18" t="s">
        <v>205</v>
      </c>
      <c r="E145" s="14">
        <v>15500.0</v>
      </c>
      <c r="F145" s="14">
        <v>31431.0</v>
      </c>
      <c r="G145" s="14">
        <v>35500.0</v>
      </c>
      <c r="H145" s="14">
        <v>35500.0</v>
      </c>
      <c r="I145" s="14">
        <v>37400.0</v>
      </c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>
      <c r="B146" s="12"/>
      <c r="C146" s="12" t="s">
        <v>89</v>
      </c>
      <c r="D146" s="18" t="s">
        <v>206</v>
      </c>
      <c r="E146" s="14">
        <v>15500.0</v>
      </c>
      <c r="F146" s="14">
        <v>26910.0</v>
      </c>
      <c r="G146" s="14">
        <v>37400.0</v>
      </c>
      <c r="H146" s="14">
        <v>37400.0</v>
      </c>
      <c r="I146" s="14">
        <v>46000.0</v>
      </c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>
      <c r="B147" s="17"/>
      <c r="C147" s="17"/>
      <c r="D147" s="18" t="s">
        <v>207</v>
      </c>
      <c r="E147" s="14">
        <v>16146.0</v>
      </c>
      <c r="F147" s="14">
        <v>26910.0</v>
      </c>
      <c r="G147" s="14">
        <v>29600.0</v>
      </c>
      <c r="H147" s="14">
        <v>29600.0</v>
      </c>
      <c r="I147" s="14">
        <v>41600.0</v>
      </c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>
      <c r="B148" s="17"/>
      <c r="C148" s="17"/>
      <c r="D148" s="18" t="s">
        <v>208</v>
      </c>
      <c r="E148" s="14">
        <v>16146.0</v>
      </c>
      <c r="F148" s="14">
        <v>26910.0</v>
      </c>
      <c r="G148" s="14">
        <v>29600.0</v>
      </c>
      <c r="H148" s="14">
        <v>29600.0</v>
      </c>
      <c r="I148" s="14">
        <v>41600.0</v>
      </c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>
      <c r="B149" s="17"/>
      <c r="C149" s="17"/>
      <c r="D149" s="18" t="s">
        <v>209</v>
      </c>
      <c r="E149" s="14">
        <v>37675.0</v>
      </c>
      <c r="F149" s="19">
        <v>40000.0</v>
      </c>
      <c r="G149" s="19">
        <v>45000.0</v>
      </c>
      <c r="H149" s="19">
        <v>45000.0</v>
      </c>
      <c r="I149" s="19">
        <v>51000.0</v>
      </c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>
      <c r="B150" s="11" t="s">
        <v>210</v>
      </c>
      <c r="C150" s="12" t="s">
        <v>210</v>
      </c>
      <c r="D150" s="18" t="s">
        <v>211</v>
      </c>
      <c r="E150" s="14">
        <v>26910.0</v>
      </c>
      <c r="F150" s="14">
        <v>53913.0</v>
      </c>
      <c r="G150" s="14">
        <v>61700.0</v>
      </c>
      <c r="H150" s="14">
        <v>61700.0</v>
      </c>
      <c r="I150" s="14">
        <v>73000.0</v>
      </c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>
      <c r="B151" s="17"/>
      <c r="C151" s="17"/>
      <c r="D151" s="18" t="s">
        <v>212</v>
      </c>
      <c r="E151" s="38">
        <v>26910.0</v>
      </c>
      <c r="F151" s="14">
        <v>45313.0</v>
      </c>
      <c r="G151" s="14">
        <v>52100.0</v>
      </c>
      <c r="H151" s="14">
        <v>52100.0</v>
      </c>
      <c r="I151" s="14">
        <v>63500.0</v>
      </c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>
      <c r="B152" s="17"/>
      <c r="C152" s="17"/>
      <c r="D152" s="18" t="s">
        <v>213</v>
      </c>
      <c r="E152" s="14">
        <v>43056.0</v>
      </c>
      <c r="F152" s="38">
        <v>43056.0</v>
      </c>
      <c r="G152" s="14">
        <v>41470.0</v>
      </c>
      <c r="H152" s="14">
        <v>41470.0</v>
      </c>
      <c r="I152" s="14">
        <v>173400.0</v>
      </c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>
      <c r="B153" s="17"/>
      <c r="C153" s="17"/>
      <c r="D153" s="18" t="s">
        <v>210</v>
      </c>
      <c r="E153" s="14">
        <v>26910.0</v>
      </c>
      <c r="F153" s="19">
        <v>67813.0</v>
      </c>
      <c r="G153" s="19">
        <v>74600.0</v>
      </c>
      <c r="H153" s="19">
        <v>74600.0</v>
      </c>
      <c r="I153" s="19">
        <v>85000.0</v>
      </c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>
      <c r="B154" s="17"/>
      <c r="C154" s="12" t="s">
        <v>214</v>
      </c>
      <c r="D154" s="18" t="s">
        <v>215</v>
      </c>
      <c r="E154" s="38">
        <v>26910.0</v>
      </c>
      <c r="F154" s="14">
        <v>33013.0</v>
      </c>
      <c r="G154" s="14">
        <v>39800.0</v>
      </c>
      <c r="H154" s="14">
        <v>43810.0</v>
      </c>
      <c r="I154" s="14">
        <v>48200.0</v>
      </c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>
      <c r="B155" s="17"/>
      <c r="C155" s="17"/>
      <c r="D155" s="18" t="s">
        <v>216</v>
      </c>
      <c r="E155" s="14">
        <v>37675.0</v>
      </c>
      <c r="F155" s="14">
        <v>43213.0</v>
      </c>
      <c r="G155" s="14">
        <v>50000.0</v>
      </c>
      <c r="H155" s="14">
        <v>50000.0</v>
      </c>
      <c r="I155" s="14">
        <v>100000.0</v>
      </c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>
      <c r="B156" s="17"/>
      <c r="C156" s="17"/>
      <c r="D156" s="18" t="s">
        <v>217</v>
      </c>
      <c r="E156" s="14">
        <v>43056.0</v>
      </c>
      <c r="F156" s="14">
        <v>83421.0</v>
      </c>
      <c r="G156" s="14">
        <v>103300.0</v>
      </c>
      <c r="H156" s="14">
        <v>103300.0</v>
      </c>
      <c r="I156" s="14">
        <v>120000.0</v>
      </c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>
      <c r="B157" s="17"/>
      <c r="C157" s="17"/>
      <c r="D157" s="18" t="s">
        <v>218</v>
      </c>
      <c r="E157" s="14">
        <v>37675.0</v>
      </c>
      <c r="F157" s="14">
        <v>38500.0</v>
      </c>
      <c r="G157" s="14">
        <v>42900.0</v>
      </c>
      <c r="H157" s="14">
        <v>42900.0</v>
      </c>
      <c r="I157" s="14">
        <v>70000.0</v>
      </c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>
      <c r="B158" s="11" t="s">
        <v>16</v>
      </c>
      <c r="C158" s="12" t="s">
        <v>16</v>
      </c>
      <c r="D158" s="18" t="s">
        <v>219</v>
      </c>
      <c r="E158" s="14">
        <v>36000.0</v>
      </c>
      <c r="F158" s="14">
        <v>39750.0</v>
      </c>
      <c r="G158" s="14">
        <v>46800.0</v>
      </c>
      <c r="H158" s="14">
        <v>46800.0</v>
      </c>
      <c r="I158" s="14">
        <v>61600.0</v>
      </c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>
      <c r="B159" s="17"/>
      <c r="C159" s="17"/>
      <c r="D159" s="18" t="s">
        <v>220</v>
      </c>
      <c r="E159" s="14">
        <v>36000.0</v>
      </c>
      <c r="F159" s="14">
        <v>40200.0</v>
      </c>
      <c r="G159" s="14">
        <v>46800.0</v>
      </c>
      <c r="H159" s="14">
        <v>46800.0</v>
      </c>
      <c r="I159" s="14">
        <v>61600.0</v>
      </c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>
      <c r="B160" s="17"/>
      <c r="C160" s="17"/>
      <c r="D160" s="18" t="s">
        <v>221</v>
      </c>
      <c r="E160" s="14">
        <v>43050.0</v>
      </c>
      <c r="F160" s="14">
        <v>53820.0</v>
      </c>
      <c r="G160" s="14">
        <v>56500.0</v>
      </c>
      <c r="H160" s="14">
        <v>56500.0</v>
      </c>
      <c r="I160" s="14">
        <v>67800.0</v>
      </c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>
      <c r="B161" s="17"/>
      <c r="C161" s="17"/>
      <c r="D161" s="18" t="s">
        <v>222</v>
      </c>
      <c r="E161" s="14">
        <v>21530.0</v>
      </c>
      <c r="F161" s="14">
        <v>33780.0</v>
      </c>
      <c r="G161" s="14">
        <v>44000.0</v>
      </c>
      <c r="H161" s="14">
        <v>49730.0</v>
      </c>
      <c r="I161" s="14">
        <v>51000.0</v>
      </c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>
      <c r="B162" s="17"/>
      <c r="C162" s="12" t="s">
        <v>223</v>
      </c>
      <c r="D162" s="18" t="s">
        <v>223</v>
      </c>
      <c r="E162" s="14">
        <v>32292.0</v>
      </c>
      <c r="F162" s="19">
        <v>59202.0</v>
      </c>
      <c r="G162" s="19">
        <v>65200.0</v>
      </c>
      <c r="H162" s="19">
        <v>65200.0</v>
      </c>
      <c r="I162" s="19">
        <v>82500.0</v>
      </c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>
      <c r="B163" s="17"/>
      <c r="C163" s="17"/>
      <c r="D163" s="18" t="s">
        <v>224</v>
      </c>
      <c r="E163" s="14">
        <v>32292.0</v>
      </c>
      <c r="F163" s="14">
        <v>36340.0</v>
      </c>
      <c r="G163" s="14">
        <v>41500.0</v>
      </c>
      <c r="H163" s="14">
        <v>41500.0</v>
      </c>
      <c r="I163" s="14">
        <v>69210.0</v>
      </c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>
      <c r="B164" s="17"/>
      <c r="C164" s="17"/>
      <c r="D164" s="18" t="s">
        <v>225</v>
      </c>
      <c r="E164" s="14">
        <v>32292.0</v>
      </c>
      <c r="F164" s="14">
        <v>33650.0</v>
      </c>
      <c r="G164" s="14">
        <v>52300.0</v>
      </c>
      <c r="H164" s="14">
        <v>52300.0</v>
      </c>
      <c r="I164" s="14">
        <v>65360.0</v>
      </c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>
      <c r="A165" s="36"/>
      <c r="B165" s="23"/>
      <c r="C165" s="23"/>
      <c r="D165" s="36"/>
      <c r="E165" s="25"/>
      <c r="F165" s="25"/>
      <c r="G165" s="25"/>
      <c r="H165" s="25"/>
      <c r="I165" s="25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>
      <c r="A166" s="10" t="s">
        <v>226</v>
      </c>
      <c r="B166" s="11" t="s">
        <v>100</v>
      </c>
      <c r="C166" s="12" t="s">
        <v>100</v>
      </c>
      <c r="D166" s="18" t="s">
        <v>227</v>
      </c>
      <c r="E166" s="14">
        <v>21530.0</v>
      </c>
      <c r="F166" s="19">
        <v>45209.0</v>
      </c>
      <c r="G166" s="14">
        <v>74000.0</v>
      </c>
      <c r="H166" s="14">
        <v>74000.0</v>
      </c>
      <c r="I166" s="14">
        <v>81400.0</v>
      </c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>
      <c r="B167" s="17"/>
      <c r="C167" s="17"/>
      <c r="D167" s="18" t="s">
        <v>228</v>
      </c>
      <c r="E167" s="14">
        <v>21530.0</v>
      </c>
      <c r="F167" s="19">
        <v>45209.0</v>
      </c>
      <c r="G167" s="14">
        <v>74000.0</v>
      </c>
      <c r="H167" s="14">
        <v>74000.0</v>
      </c>
      <c r="I167" s="14">
        <v>81400.0</v>
      </c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>
      <c r="B168" s="17"/>
      <c r="C168" s="17"/>
      <c r="D168" s="18" t="s">
        <v>229</v>
      </c>
      <c r="E168" s="14">
        <v>18299.0</v>
      </c>
      <c r="F168" s="19">
        <v>37674.0</v>
      </c>
      <c r="G168" s="19">
        <v>66400.0</v>
      </c>
      <c r="H168" s="19">
        <v>66400.0</v>
      </c>
      <c r="I168" s="19">
        <v>76500.0</v>
      </c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>
      <c r="B169" s="17"/>
      <c r="C169" s="17"/>
      <c r="D169" s="18" t="s">
        <v>100</v>
      </c>
      <c r="E169" s="14">
        <v>18300.0</v>
      </c>
      <c r="F169" s="19">
        <v>45209.0</v>
      </c>
      <c r="G169" s="19">
        <v>50200.0</v>
      </c>
      <c r="H169" s="19">
        <v>50200.0</v>
      </c>
      <c r="I169" s="19">
        <v>70000.0</v>
      </c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>
      <c r="B170" s="20"/>
      <c r="C170" s="12" t="s">
        <v>230</v>
      </c>
      <c r="D170" s="18" t="s">
        <v>231</v>
      </c>
      <c r="E170" s="14">
        <v>21528.0</v>
      </c>
      <c r="F170" s="19">
        <v>45209.0</v>
      </c>
      <c r="G170" s="14">
        <v>47400.0</v>
      </c>
      <c r="H170" s="14">
        <v>47400.0</v>
      </c>
      <c r="I170" s="14">
        <v>49400.0</v>
      </c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>
      <c r="B171" s="17"/>
      <c r="C171" s="17"/>
      <c r="D171" s="18" t="s">
        <v>232</v>
      </c>
      <c r="E171" s="14">
        <v>21528.0</v>
      </c>
      <c r="F171" s="14">
        <v>31000.0</v>
      </c>
      <c r="G171" s="19">
        <v>37674.0</v>
      </c>
      <c r="H171" s="19">
        <v>37674.0</v>
      </c>
      <c r="I171" s="14">
        <v>40700.0</v>
      </c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>
      <c r="B172" s="17"/>
      <c r="C172" s="17"/>
      <c r="D172" s="18" t="s">
        <v>104</v>
      </c>
      <c r="E172" s="14">
        <v>21528.0</v>
      </c>
      <c r="F172" s="19">
        <v>62431.0</v>
      </c>
      <c r="G172" s="19">
        <v>47200.0</v>
      </c>
      <c r="H172" s="19">
        <v>47200.0</v>
      </c>
      <c r="I172" s="19">
        <v>59000.0</v>
      </c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>
      <c r="B173" s="17"/>
      <c r="C173" s="17"/>
      <c r="D173" s="18" t="s">
        <v>233</v>
      </c>
      <c r="E173" s="14">
        <v>16146.0</v>
      </c>
      <c r="F173" s="14">
        <v>11840.0</v>
      </c>
      <c r="G173" s="14">
        <v>21350.0</v>
      </c>
      <c r="H173" s="14">
        <v>21350.0</v>
      </c>
      <c r="I173" s="14">
        <v>30000.0</v>
      </c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>
      <c r="B174" s="11" t="s">
        <v>234</v>
      </c>
      <c r="C174" s="12" t="s">
        <v>235</v>
      </c>
      <c r="D174" s="18" t="s">
        <v>236</v>
      </c>
      <c r="E174" s="14">
        <v>8073.0</v>
      </c>
      <c r="F174" s="14">
        <v>11840.0</v>
      </c>
      <c r="G174" s="14">
        <v>24800.0</v>
      </c>
      <c r="H174" s="14">
        <v>24800.0</v>
      </c>
      <c r="I174" s="14">
        <v>30850.0</v>
      </c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>
      <c r="B175" s="17"/>
      <c r="C175" s="17"/>
      <c r="D175" s="18" t="s">
        <v>237</v>
      </c>
      <c r="E175" s="14">
        <v>8073.0</v>
      </c>
      <c r="F175" s="14">
        <v>11840.0</v>
      </c>
      <c r="G175" s="14">
        <v>32292.0</v>
      </c>
      <c r="H175" s="14">
        <v>32292.0</v>
      </c>
      <c r="I175" s="14">
        <v>40700.0</v>
      </c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>
      <c r="B176" s="17"/>
      <c r="C176" s="17"/>
      <c r="D176" s="18" t="s">
        <v>238</v>
      </c>
      <c r="E176" s="14">
        <v>8073.0</v>
      </c>
      <c r="F176" s="14">
        <v>11800.0</v>
      </c>
      <c r="G176" s="14">
        <v>27200.0</v>
      </c>
      <c r="H176" s="14">
        <v>27200.0</v>
      </c>
      <c r="I176" s="14">
        <v>36750.0</v>
      </c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>
      <c r="B177" s="17"/>
      <c r="C177" s="17"/>
      <c r="D177" s="18" t="s">
        <v>239</v>
      </c>
      <c r="E177" s="14">
        <v>8073.0</v>
      </c>
      <c r="F177" s="14">
        <v>11840.0</v>
      </c>
      <c r="G177" s="14">
        <v>27800.0</v>
      </c>
      <c r="H177" s="14">
        <v>27800.0</v>
      </c>
      <c r="I177" s="14">
        <v>31600.0</v>
      </c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>
      <c r="B178" s="17"/>
      <c r="C178" s="12" t="s">
        <v>234</v>
      </c>
      <c r="D178" s="18" t="s">
        <v>240</v>
      </c>
      <c r="E178" s="14">
        <v>16146.0</v>
      </c>
      <c r="F178" s="14">
        <v>11840.0</v>
      </c>
      <c r="G178" s="14">
        <v>13000.0</v>
      </c>
      <c r="H178" s="14">
        <v>13000.0</v>
      </c>
      <c r="I178" s="14">
        <v>20600.0</v>
      </c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>
      <c r="B179" s="17"/>
      <c r="C179" s="17"/>
      <c r="D179" s="18" t="s">
        <v>241</v>
      </c>
      <c r="E179" s="14">
        <v>16146.0</v>
      </c>
      <c r="F179" s="14">
        <v>11840.0</v>
      </c>
      <c r="G179" s="14">
        <v>13000.0</v>
      </c>
      <c r="H179" s="14">
        <v>13000.0</v>
      </c>
      <c r="I179" s="14">
        <v>20600.0</v>
      </c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>
      <c r="B180" s="17"/>
      <c r="C180" s="17"/>
      <c r="D180" s="18" t="s">
        <v>234</v>
      </c>
      <c r="E180" s="14">
        <v>27990.0</v>
      </c>
      <c r="F180" s="14">
        <v>29000.0</v>
      </c>
      <c r="G180" s="14">
        <v>31000.0</v>
      </c>
      <c r="H180" s="14">
        <v>31000.0</v>
      </c>
      <c r="I180" s="14">
        <v>44500.0</v>
      </c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>
      <c r="B181" s="11" t="s">
        <v>242</v>
      </c>
      <c r="C181" s="12" t="s">
        <v>243</v>
      </c>
      <c r="D181" s="41" t="s">
        <v>45</v>
      </c>
      <c r="E181" s="19">
        <v>13993.0</v>
      </c>
      <c r="F181" s="19">
        <v>23700.0</v>
      </c>
      <c r="G181" s="19">
        <v>26100.0</v>
      </c>
      <c r="H181" s="19">
        <v>26100.0</v>
      </c>
      <c r="I181" s="19">
        <v>40000.0</v>
      </c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>
      <c r="B182" s="17"/>
      <c r="C182" s="17"/>
      <c r="D182" s="18" t="s">
        <v>244</v>
      </c>
      <c r="E182" s="14">
        <v>8073.0</v>
      </c>
      <c r="F182" s="14">
        <v>35683.0</v>
      </c>
      <c r="G182" s="14">
        <v>38200.0</v>
      </c>
      <c r="H182" s="14">
        <v>38200.0</v>
      </c>
      <c r="I182" s="14">
        <v>40600.0</v>
      </c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>
      <c r="B183" s="17"/>
      <c r="C183" s="17"/>
      <c r="D183" s="18" t="s">
        <v>245</v>
      </c>
      <c r="E183" s="14">
        <v>18299.0</v>
      </c>
      <c r="F183" s="14">
        <v>35683.0</v>
      </c>
      <c r="G183" s="14">
        <v>61800.0</v>
      </c>
      <c r="H183" s="14">
        <v>61800.0</v>
      </c>
      <c r="I183" s="14">
        <v>72700.0</v>
      </c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>
      <c r="B184" s="17"/>
      <c r="C184" s="17"/>
      <c r="D184" s="18" t="s">
        <v>243</v>
      </c>
      <c r="E184" s="14">
        <v>5382.0</v>
      </c>
      <c r="F184" s="14">
        <v>35683.0</v>
      </c>
      <c r="G184" s="14">
        <v>49800.0</v>
      </c>
      <c r="H184" s="14">
        <v>49800.0</v>
      </c>
      <c r="I184" s="14">
        <v>55000.0</v>
      </c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>
      <c r="B185" s="20"/>
      <c r="C185" s="12" t="s">
        <v>246</v>
      </c>
      <c r="D185" s="18" t="s">
        <v>247</v>
      </c>
      <c r="E185" s="14">
        <v>21528.0</v>
      </c>
      <c r="F185" s="14">
        <v>36490.0</v>
      </c>
      <c r="G185" s="14">
        <v>35600.0</v>
      </c>
      <c r="H185" s="14">
        <v>35600.0</v>
      </c>
      <c r="I185" s="14">
        <v>41000.0</v>
      </c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>
      <c r="B186" s="17"/>
      <c r="C186" s="17"/>
      <c r="D186" s="18" t="s">
        <v>246</v>
      </c>
      <c r="E186" s="14">
        <v>21528.0</v>
      </c>
      <c r="F186" s="14">
        <v>36490.0</v>
      </c>
      <c r="G186" s="14">
        <v>37700.0</v>
      </c>
      <c r="H186" s="14">
        <v>37700.0</v>
      </c>
      <c r="I186" s="14">
        <v>60000.0</v>
      </c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>
      <c r="B187" s="17"/>
      <c r="C187" s="17"/>
      <c r="D187" s="40" t="s">
        <v>248</v>
      </c>
      <c r="E187" s="14">
        <v>21528.0</v>
      </c>
      <c r="F187" s="19">
        <v>43056.0</v>
      </c>
      <c r="G187" s="19">
        <v>47400.0</v>
      </c>
      <c r="H187" s="19">
        <v>47400.0</v>
      </c>
      <c r="I187" s="19">
        <v>50000.0</v>
      </c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>
      <c r="B188" s="17"/>
      <c r="C188" s="17"/>
      <c r="D188" s="18" t="s">
        <v>249</v>
      </c>
      <c r="E188" s="19">
        <v>13993.0</v>
      </c>
      <c r="F188" s="14">
        <v>24650.0</v>
      </c>
      <c r="G188" s="14">
        <v>29600.0</v>
      </c>
      <c r="H188" s="14">
        <v>29600.0</v>
      </c>
      <c r="I188" s="14">
        <v>37300.0</v>
      </c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>
      <c r="B189" s="11" t="s">
        <v>250</v>
      </c>
      <c r="C189" s="12" t="s">
        <v>251</v>
      </c>
      <c r="D189" s="18" t="s">
        <v>252</v>
      </c>
      <c r="E189" s="14">
        <v>48438.0</v>
      </c>
      <c r="F189" s="19">
        <v>153900.0</v>
      </c>
      <c r="G189" s="19">
        <v>163900.0</v>
      </c>
      <c r="H189" s="19">
        <v>163900.0</v>
      </c>
      <c r="I189" s="19">
        <v>203200.0</v>
      </c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>
      <c r="B190" s="17"/>
      <c r="C190" s="17"/>
      <c r="D190" s="18" t="s">
        <v>251</v>
      </c>
      <c r="E190" s="14">
        <v>48438.0</v>
      </c>
      <c r="F190" s="19">
        <v>43056.0</v>
      </c>
      <c r="G190" s="14">
        <v>61600.0</v>
      </c>
      <c r="H190" s="14">
        <v>61600.0</v>
      </c>
      <c r="I190" s="14">
        <v>84700.0</v>
      </c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>
      <c r="B191" s="17"/>
      <c r="C191" s="17"/>
      <c r="D191" s="18" t="s">
        <v>253</v>
      </c>
      <c r="E191" s="14">
        <v>48438.0</v>
      </c>
      <c r="F191" s="19">
        <v>43056.0</v>
      </c>
      <c r="G191" s="14">
        <v>53300.0</v>
      </c>
      <c r="H191" s="14">
        <v>53300.0</v>
      </c>
      <c r="I191" s="14">
        <v>69520.0</v>
      </c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>
      <c r="B192" s="17"/>
      <c r="C192" s="12" t="s">
        <v>254</v>
      </c>
      <c r="D192" s="18" t="s">
        <v>255</v>
      </c>
      <c r="E192" s="14">
        <v>16146.0</v>
      </c>
      <c r="F192" s="14">
        <v>24650.0</v>
      </c>
      <c r="G192" s="14">
        <v>35600.0</v>
      </c>
      <c r="H192" s="14">
        <v>35600.0</v>
      </c>
      <c r="I192" s="14">
        <v>44200.0</v>
      </c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>
      <c r="B193" s="17"/>
      <c r="C193" s="17"/>
      <c r="D193" s="18" t="s">
        <v>254</v>
      </c>
      <c r="E193" s="14">
        <v>21528.0</v>
      </c>
      <c r="F193" s="19">
        <v>28760.0</v>
      </c>
      <c r="G193" s="14">
        <v>35600.0</v>
      </c>
      <c r="H193" s="14">
        <v>35600.0</v>
      </c>
      <c r="I193" s="19">
        <v>44200.0</v>
      </c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>
      <c r="B194" s="17"/>
      <c r="C194" s="17"/>
      <c r="D194" s="18" t="s">
        <v>256</v>
      </c>
      <c r="E194" s="14">
        <v>16146.0</v>
      </c>
      <c r="F194" s="14">
        <v>20000.0</v>
      </c>
      <c r="G194" s="14">
        <v>26100.0</v>
      </c>
      <c r="H194" s="14">
        <v>26100.0</v>
      </c>
      <c r="I194" s="14">
        <v>35000.0</v>
      </c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>
      <c r="B195" s="17"/>
      <c r="C195" s="17"/>
      <c r="D195" s="18" t="s">
        <v>242</v>
      </c>
      <c r="E195" s="14">
        <v>16146.0</v>
      </c>
      <c r="F195" s="14">
        <v>20000.0</v>
      </c>
      <c r="G195" s="14">
        <v>26100.0</v>
      </c>
      <c r="H195" s="14">
        <v>26100.0</v>
      </c>
      <c r="I195" s="14">
        <v>35000.0</v>
      </c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>
      <c r="B196" s="11" t="s">
        <v>257</v>
      </c>
      <c r="C196" s="12" t="s">
        <v>257</v>
      </c>
      <c r="D196" s="18" t="s">
        <v>258</v>
      </c>
      <c r="E196" s="14">
        <v>32292.0</v>
      </c>
      <c r="F196" s="38">
        <v>34292.0</v>
      </c>
      <c r="G196" s="14">
        <v>37700.0</v>
      </c>
      <c r="H196" s="14">
        <v>37700.0</v>
      </c>
      <c r="I196" s="14">
        <v>74800.0</v>
      </c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>
      <c r="B197" s="17"/>
      <c r="C197" s="17"/>
      <c r="D197" s="18" t="s">
        <v>259</v>
      </c>
      <c r="E197" s="14">
        <v>21530.0</v>
      </c>
      <c r="F197" s="14">
        <v>29840.0</v>
      </c>
      <c r="G197" s="14">
        <v>37700.0</v>
      </c>
      <c r="H197" s="14">
        <v>37700.0</v>
      </c>
      <c r="I197" s="14">
        <v>74800.0</v>
      </c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>
      <c r="B198" s="17"/>
      <c r="C198" s="17"/>
      <c r="D198" s="40" t="s">
        <v>257</v>
      </c>
      <c r="E198" s="14">
        <v>27000.0</v>
      </c>
      <c r="F198" s="19">
        <v>77501.0</v>
      </c>
      <c r="G198" s="19">
        <v>85500.0</v>
      </c>
      <c r="H198" s="19">
        <v>85500.0</v>
      </c>
      <c r="I198" s="19">
        <v>112000.0</v>
      </c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>
      <c r="B199" s="17"/>
      <c r="C199" s="12" t="s">
        <v>260</v>
      </c>
      <c r="D199" s="18" t="s">
        <v>261</v>
      </c>
      <c r="E199" s="38">
        <v>32292.0</v>
      </c>
      <c r="F199" s="38">
        <v>32292.0</v>
      </c>
      <c r="G199" s="14">
        <v>39100.0</v>
      </c>
      <c r="H199" s="14">
        <v>39100.0</v>
      </c>
      <c r="I199" s="14">
        <v>46500.0</v>
      </c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>
      <c r="B200" s="17"/>
      <c r="C200" s="17"/>
      <c r="D200" s="18" t="s">
        <v>260</v>
      </c>
      <c r="E200" s="14">
        <v>43056.0</v>
      </c>
      <c r="F200" s="14">
        <v>54358.0</v>
      </c>
      <c r="G200" s="14">
        <v>82800.0</v>
      </c>
      <c r="H200" s="14">
        <v>82800.0</v>
      </c>
      <c r="I200" s="14">
        <v>90420.0</v>
      </c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>
      <c r="B201" s="17"/>
      <c r="C201" s="17"/>
      <c r="D201" s="18" t="s">
        <v>262</v>
      </c>
      <c r="E201" s="38">
        <v>43056.0</v>
      </c>
      <c r="F201" s="14">
        <v>54358.0</v>
      </c>
      <c r="G201" s="14">
        <v>82800.0</v>
      </c>
      <c r="H201" s="14">
        <v>82800.0</v>
      </c>
      <c r="I201" s="14">
        <v>90420.0</v>
      </c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>
      <c r="B202" s="17"/>
      <c r="C202" s="17"/>
      <c r="D202" s="18" t="s">
        <v>263</v>
      </c>
      <c r="E202" s="14">
        <v>37674.0</v>
      </c>
      <c r="F202" s="14">
        <v>37674.0</v>
      </c>
      <c r="G202" s="14">
        <v>49000.0</v>
      </c>
      <c r="H202" s="14">
        <v>49000.0</v>
      </c>
      <c r="I202" s="14">
        <v>58760.0</v>
      </c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>
      <c r="B203" s="11" t="s">
        <v>38</v>
      </c>
      <c r="C203" s="12" t="s">
        <v>38</v>
      </c>
      <c r="D203" s="18" t="s">
        <v>43</v>
      </c>
      <c r="E203" s="14">
        <v>69966.0</v>
      </c>
      <c r="F203" s="19">
        <v>94700.0</v>
      </c>
      <c r="G203" s="19">
        <v>106100.0</v>
      </c>
      <c r="H203" s="19">
        <v>106100.0</v>
      </c>
      <c r="I203" s="19">
        <v>127300.0</v>
      </c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>
      <c r="B204" s="17"/>
      <c r="C204" s="17"/>
      <c r="D204" s="18" t="s">
        <v>264</v>
      </c>
      <c r="E204" s="14">
        <v>19375.0</v>
      </c>
      <c r="F204" s="19">
        <v>39827.0</v>
      </c>
      <c r="G204" s="19">
        <v>43810.0</v>
      </c>
      <c r="H204" s="19">
        <v>43810.0</v>
      </c>
      <c r="I204" s="19">
        <v>52200.0</v>
      </c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>
      <c r="B205" s="17"/>
      <c r="C205" s="17"/>
      <c r="D205" s="18" t="s">
        <v>38</v>
      </c>
      <c r="E205" s="14">
        <v>19375.0</v>
      </c>
      <c r="F205" s="34">
        <v>61400.0</v>
      </c>
      <c r="G205" s="34">
        <v>67600.0</v>
      </c>
      <c r="H205" s="34">
        <v>67600.0</v>
      </c>
      <c r="I205" s="34">
        <v>74300.0</v>
      </c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>
      <c r="B206" s="17"/>
      <c r="C206" s="12" t="s">
        <v>265</v>
      </c>
      <c r="D206" s="18" t="s">
        <v>266</v>
      </c>
      <c r="E206" s="14">
        <v>15070.0</v>
      </c>
      <c r="F206" s="14">
        <v>28940.0</v>
      </c>
      <c r="G206" s="14">
        <v>34400.0</v>
      </c>
      <c r="H206" s="14">
        <v>34400.0</v>
      </c>
      <c r="I206" s="14">
        <v>52250.0</v>
      </c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>
      <c r="B207" s="17"/>
      <c r="C207" s="17"/>
      <c r="D207" s="18" t="s">
        <v>95</v>
      </c>
      <c r="E207" s="14">
        <v>46285.0</v>
      </c>
      <c r="F207" s="19">
        <v>91494.0</v>
      </c>
      <c r="G207" s="19">
        <v>106600.0</v>
      </c>
      <c r="H207" s="19">
        <v>106600.0</v>
      </c>
      <c r="I207" s="19">
        <v>161500.0</v>
      </c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>
      <c r="B208" s="17"/>
      <c r="C208" s="17"/>
      <c r="D208" s="18" t="s">
        <v>265</v>
      </c>
      <c r="E208" s="14">
        <v>43056.0</v>
      </c>
      <c r="F208" s="14">
        <v>75500.0</v>
      </c>
      <c r="G208" s="14">
        <v>86150.0</v>
      </c>
      <c r="H208" s="14">
        <v>86150.0</v>
      </c>
      <c r="I208" s="14">
        <v>142200.0</v>
      </c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>
      <c r="B209" s="17"/>
      <c r="C209" s="17"/>
      <c r="D209" s="18" t="s">
        <v>267</v>
      </c>
      <c r="E209" s="14">
        <v>40000.0</v>
      </c>
      <c r="F209" s="14">
        <v>52400.0</v>
      </c>
      <c r="G209" s="14">
        <v>64600.0</v>
      </c>
      <c r="H209" s="14">
        <v>64600.0</v>
      </c>
      <c r="I209" s="14">
        <v>82700.0</v>
      </c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>
      <c r="A210" s="8"/>
      <c r="B210" s="8"/>
      <c r="C210" s="8"/>
      <c r="D210" s="8"/>
      <c r="E210" s="42"/>
      <c r="F210" s="42"/>
      <c r="G210" s="42"/>
      <c r="H210" s="42"/>
      <c r="I210" s="42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>
      <c r="A211" s="8"/>
      <c r="B211" s="8"/>
      <c r="C211" s="8"/>
      <c r="D211" s="8"/>
      <c r="E211" s="42"/>
      <c r="F211" s="42"/>
      <c r="G211" s="42"/>
      <c r="H211" s="42"/>
      <c r="I211" s="42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>
      <c r="A212" s="8"/>
      <c r="B212" s="8"/>
      <c r="C212" s="8"/>
      <c r="D212" s="8"/>
      <c r="E212" s="42"/>
      <c r="F212" s="42"/>
      <c r="G212" s="42"/>
      <c r="H212" s="42"/>
      <c r="I212" s="42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>
      <c r="A213" s="8"/>
      <c r="B213" s="8"/>
      <c r="C213" s="8"/>
      <c r="D213" s="8"/>
      <c r="E213" s="42"/>
      <c r="F213" s="42"/>
      <c r="G213" s="42"/>
      <c r="H213" s="42"/>
      <c r="I213" s="42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>
      <c r="A214" s="8"/>
      <c r="B214" s="8"/>
      <c r="C214" s="8"/>
      <c r="D214" s="8"/>
      <c r="E214" s="42"/>
      <c r="F214" s="42"/>
      <c r="G214" s="42"/>
      <c r="H214" s="42"/>
      <c r="I214" s="42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>
      <c r="A215" s="8"/>
      <c r="B215" s="8"/>
      <c r="C215" s="8"/>
      <c r="D215" s="8"/>
      <c r="E215" s="42"/>
      <c r="F215" s="42"/>
      <c r="G215" s="42"/>
      <c r="H215" s="42"/>
      <c r="I215" s="42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>
      <c r="A216" s="8"/>
      <c r="B216" s="8"/>
      <c r="C216" s="8"/>
      <c r="D216" s="8"/>
      <c r="E216" s="42"/>
      <c r="F216" s="42"/>
      <c r="G216" s="42"/>
      <c r="H216" s="42"/>
      <c r="I216" s="42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>
      <c r="A217" s="8"/>
      <c r="B217" s="8"/>
      <c r="C217" s="8"/>
      <c r="D217" s="8"/>
      <c r="E217" s="42"/>
      <c r="F217" s="42"/>
      <c r="G217" s="42"/>
      <c r="H217" s="42"/>
      <c r="I217" s="42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>
      <c r="A218" s="8"/>
      <c r="B218" s="8"/>
      <c r="C218" s="8"/>
      <c r="D218" s="8"/>
      <c r="E218" s="42"/>
      <c r="F218" s="42"/>
      <c r="G218" s="42"/>
      <c r="H218" s="42"/>
      <c r="I218" s="42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>
      <c r="A219" s="8"/>
      <c r="B219" s="8"/>
      <c r="C219" s="8"/>
      <c r="D219" s="8"/>
      <c r="E219" s="42"/>
      <c r="F219" s="42"/>
      <c r="G219" s="42"/>
      <c r="H219" s="42"/>
      <c r="I219" s="42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>
      <c r="A220" s="8"/>
      <c r="B220" s="8"/>
      <c r="C220" s="8"/>
      <c r="D220" s="8"/>
      <c r="E220" s="42"/>
      <c r="F220" s="42"/>
      <c r="G220" s="42"/>
      <c r="H220" s="42"/>
      <c r="I220" s="42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>
      <c r="A221" s="8"/>
      <c r="B221" s="8"/>
      <c r="C221" s="8"/>
      <c r="D221" s="8"/>
      <c r="E221" s="42"/>
      <c r="F221" s="42"/>
      <c r="G221" s="42"/>
      <c r="H221" s="42"/>
      <c r="I221" s="42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>
      <c r="A222" s="8"/>
      <c r="B222" s="8"/>
      <c r="C222" s="8"/>
      <c r="D222" s="8"/>
      <c r="E222" s="42"/>
      <c r="F222" s="42"/>
      <c r="G222" s="42"/>
      <c r="H222" s="42"/>
      <c r="I222" s="42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>
      <c r="A223" s="8"/>
      <c r="B223" s="8"/>
      <c r="C223" s="8"/>
      <c r="D223" s="8"/>
      <c r="E223" s="42"/>
      <c r="F223" s="42"/>
      <c r="G223" s="42"/>
      <c r="H223" s="42"/>
      <c r="I223" s="42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>
      <c r="A224" s="8"/>
      <c r="B224" s="8"/>
      <c r="C224" s="8"/>
      <c r="D224" s="8"/>
      <c r="E224" s="42"/>
      <c r="F224" s="42"/>
      <c r="G224" s="42"/>
      <c r="H224" s="42"/>
      <c r="I224" s="42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>
      <c r="A225" s="8"/>
      <c r="B225" s="8"/>
      <c r="C225" s="8"/>
      <c r="D225" s="8"/>
      <c r="E225" s="42"/>
      <c r="F225" s="42"/>
      <c r="G225" s="42"/>
      <c r="H225" s="42"/>
      <c r="I225" s="42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>
      <c r="A226" s="8"/>
      <c r="B226" s="8"/>
      <c r="C226" s="8"/>
      <c r="D226" s="8"/>
      <c r="E226" s="42"/>
      <c r="F226" s="42"/>
      <c r="G226" s="42"/>
      <c r="H226" s="42"/>
      <c r="I226" s="42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>
      <c r="A227" s="8"/>
      <c r="B227" s="8"/>
      <c r="C227" s="8"/>
      <c r="D227" s="8"/>
      <c r="E227" s="42"/>
      <c r="F227" s="42"/>
      <c r="G227" s="42"/>
      <c r="H227" s="42"/>
      <c r="I227" s="42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>
      <c r="A228" s="8"/>
      <c r="B228" s="8"/>
      <c r="C228" s="8"/>
      <c r="D228" s="8"/>
      <c r="E228" s="42"/>
      <c r="F228" s="42"/>
      <c r="G228" s="42"/>
      <c r="H228" s="42"/>
      <c r="I228" s="42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>
      <c r="A229" s="8"/>
      <c r="B229" s="8"/>
      <c r="C229" s="8"/>
      <c r="D229" s="8"/>
      <c r="E229" s="42"/>
      <c r="F229" s="42"/>
      <c r="G229" s="42"/>
      <c r="H229" s="42"/>
      <c r="I229" s="42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>
      <c r="A230" s="8"/>
      <c r="B230" s="8"/>
      <c r="C230" s="8"/>
      <c r="D230" s="8"/>
      <c r="E230" s="42"/>
      <c r="F230" s="42"/>
      <c r="G230" s="42"/>
      <c r="H230" s="42"/>
      <c r="I230" s="42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>
      <c r="A231" s="8"/>
      <c r="B231" s="8"/>
      <c r="C231" s="8"/>
      <c r="D231" s="8"/>
      <c r="E231" s="42"/>
      <c r="F231" s="42"/>
      <c r="G231" s="42"/>
      <c r="H231" s="42"/>
      <c r="I231" s="42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>
      <c r="A232" s="8"/>
      <c r="B232" s="8"/>
      <c r="C232" s="8"/>
      <c r="D232" s="8"/>
      <c r="E232" s="42"/>
      <c r="F232" s="42"/>
      <c r="G232" s="42"/>
      <c r="H232" s="42"/>
      <c r="I232" s="42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>
      <c r="A233" s="8"/>
      <c r="B233" s="8"/>
      <c r="C233" s="8"/>
      <c r="D233" s="8"/>
      <c r="E233" s="42"/>
      <c r="F233" s="42"/>
      <c r="G233" s="42"/>
      <c r="H233" s="42"/>
      <c r="I233" s="42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>
      <c r="A234" s="8"/>
      <c r="B234" s="8"/>
      <c r="C234" s="8"/>
      <c r="D234" s="8"/>
      <c r="E234" s="42"/>
      <c r="F234" s="42"/>
      <c r="G234" s="42"/>
      <c r="H234" s="42"/>
      <c r="I234" s="42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>
      <c r="A235" s="8"/>
      <c r="B235" s="8"/>
      <c r="C235" s="8"/>
      <c r="D235" s="8"/>
      <c r="E235" s="42"/>
      <c r="F235" s="42"/>
      <c r="G235" s="42"/>
      <c r="H235" s="42"/>
      <c r="I235" s="42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>
      <c r="A236" s="8"/>
      <c r="B236" s="8"/>
      <c r="C236" s="8"/>
      <c r="D236" s="8"/>
      <c r="E236" s="42"/>
      <c r="F236" s="42"/>
      <c r="G236" s="42"/>
      <c r="H236" s="42"/>
      <c r="I236" s="42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>
      <c r="A237" s="8"/>
      <c r="B237" s="8"/>
      <c r="C237" s="8"/>
      <c r="D237" s="8"/>
      <c r="E237" s="42"/>
      <c r="F237" s="42"/>
      <c r="G237" s="42"/>
      <c r="H237" s="42"/>
      <c r="I237" s="42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>
      <c r="A238" s="8"/>
      <c r="B238" s="8"/>
      <c r="C238" s="8"/>
      <c r="D238" s="8"/>
      <c r="E238" s="42"/>
      <c r="F238" s="42"/>
      <c r="G238" s="42"/>
      <c r="H238" s="42"/>
      <c r="I238" s="42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>
      <c r="A239" s="8"/>
      <c r="B239" s="8"/>
      <c r="C239" s="8"/>
      <c r="D239" s="8"/>
      <c r="E239" s="42"/>
      <c r="F239" s="42"/>
      <c r="G239" s="42"/>
      <c r="H239" s="42"/>
      <c r="I239" s="42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>
      <c r="A240" s="8"/>
      <c r="B240" s="8"/>
      <c r="C240" s="8"/>
      <c r="D240" s="8"/>
      <c r="E240" s="42"/>
      <c r="F240" s="42"/>
      <c r="G240" s="42"/>
      <c r="H240" s="42"/>
      <c r="I240" s="42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>
      <c r="A241" s="8"/>
      <c r="B241" s="8"/>
      <c r="C241" s="8"/>
      <c r="D241" s="8"/>
      <c r="E241" s="42"/>
      <c r="F241" s="42"/>
      <c r="G241" s="42"/>
      <c r="H241" s="42"/>
      <c r="I241" s="42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>
      <c r="A242" s="8"/>
      <c r="B242" s="8"/>
      <c r="C242" s="8"/>
      <c r="D242" s="8"/>
      <c r="E242" s="42"/>
      <c r="F242" s="42"/>
      <c r="G242" s="42"/>
      <c r="H242" s="42"/>
      <c r="I242" s="42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>
      <c r="A243" s="8"/>
      <c r="B243" s="8"/>
      <c r="C243" s="8"/>
      <c r="D243" s="8"/>
      <c r="E243" s="42"/>
      <c r="F243" s="42"/>
      <c r="G243" s="42"/>
      <c r="H243" s="42"/>
      <c r="I243" s="42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>
      <c r="A244" s="8"/>
      <c r="B244" s="8"/>
      <c r="C244" s="8"/>
      <c r="D244" s="8"/>
      <c r="E244" s="42"/>
      <c r="F244" s="42"/>
      <c r="G244" s="42"/>
      <c r="H244" s="42"/>
      <c r="I244" s="42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>
      <c r="A245" s="8"/>
      <c r="B245" s="8"/>
      <c r="C245" s="8"/>
      <c r="D245" s="8"/>
      <c r="E245" s="42"/>
      <c r="F245" s="42"/>
      <c r="G245" s="42"/>
      <c r="H245" s="42"/>
      <c r="I245" s="42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>
      <c r="A246" s="8"/>
      <c r="B246" s="8"/>
      <c r="C246" s="8"/>
      <c r="D246" s="8"/>
      <c r="E246" s="42"/>
      <c r="F246" s="42"/>
      <c r="G246" s="42"/>
      <c r="H246" s="42"/>
      <c r="I246" s="42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>
      <c r="A247" s="8"/>
      <c r="B247" s="8"/>
      <c r="C247" s="8"/>
      <c r="D247" s="8"/>
      <c r="E247" s="42"/>
      <c r="F247" s="42"/>
      <c r="G247" s="42"/>
      <c r="H247" s="42"/>
      <c r="I247" s="42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>
      <c r="A248" s="8"/>
      <c r="B248" s="8"/>
      <c r="C248" s="8"/>
      <c r="D248" s="8"/>
      <c r="E248" s="42"/>
      <c r="F248" s="42"/>
      <c r="G248" s="42"/>
      <c r="H248" s="42"/>
      <c r="I248" s="42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>
      <c r="A249" s="8"/>
      <c r="B249" s="8"/>
      <c r="C249" s="8"/>
      <c r="D249" s="8"/>
      <c r="E249" s="42"/>
      <c r="F249" s="42"/>
      <c r="G249" s="42"/>
      <c r="H249" s="42"/>
      <c r="I249" s="42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>
      <c r="A250" s="8"/>
      <c r="B250" s="8"/>
      <c r="C250" s="8"/>
      <c r="D250" s="8"/>
      <c r="E250" s="42"/>
      <c r="F250" s="42"/>
      <c r="G250" s="42"/>
      <c r="H250" s="42"/>
      <c r="I250" s="42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>
      <c r="A251" s="8"/>
      <c r="B251" s="8"/>
      <c r="C251" s="8"/>
      <c r="D251" s="8"/>
      <c r="E251" s="42"/>
      <c r="F251" s="42"/>
      <c r="G251" s="42"/>
      <c r="H251" s="42"/>
      <c r="I251" s="42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>
      <c r="A252" s="8"/>
      <c r="B252" s="8"/>
      <c r="C252" s="8"/>
      <c r="D252" s="8"/>
      <c r="E252" s="42"/>
      <c r="F252" s="42"/>
      <c r="G252" s="42"/>
      <c r="H252" s="42"/>
      <c r="I252" s="42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>
      <c r="A253" s="8"/>
      <c r="B253" s="8"/>
      <c r="C253" s="8"/>
      <c r="D253" s="8"/>
      <c r="E253" s="42"/>
      <c r="F253" s="42"/>
      <c r="G253" s="42"/>
      <c r="H253" s="42"/>
      <c r="I253" s="42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>
      <c r="A254" s="8"/>
      <c r="B254" s="8"/>
      <c r="C254" s="8"/>
      <c r="D254" s="8"/>
      <c r="E254" s="42"/>
      <c r="F254" s="42"/>
      <c r="G254" s="42"/>
      <c r="H254" s="42"/>
      <c r="I254" s="42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>
      <c r="A255" s="8"/>
      <c r="B255" s="8"/>
      <c r="C255" s="8"/>
      <c r="D255" s="8"/>
      <c r="E255" s="42"/>
      <c r="F255" s="42"/>
      <c r="G255" s="42"/>
      <c r="H255" s="42"/>
      <c r="I255" s="42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>
      <c r="A256" s="8"/>
      <c r="B256" s="8"/>
      <c r="C256" s="8"/>
      <c r="D256" s="8"/>
      <c r="E256" s="42"/>
      <c r="F256" s="42"/>
      <c r="G256" s="42"/>
      <c r="H256" s="42"/>
      <c r="I256" s="42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>
      <c r="A257" s="8"/>
      <c r="B257" s="8"/>
      <c r="C257" s="8"/>
      <c r="D257" s="8"/>
      <c r="E257" s="42"/>
      <c r="F257" s="42"/>
      <c r="G257" s="42"/>
      <c r="H257" s="42"/>
      <c r="I257" s="42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>
      <c r="A258" s="8"/>
      <c r="B258" s="8"/>
      <c r="C258" s="8"/>
      <c r="D258" s="8"/>
      <c r="E258" s="42"/>
      <c r="F258" s="42"/>
      <c r="G258" s="42"/>
      <c r="H258" s="42"/>
      <c r="I258" s="42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>
      <c r="A259" s="8"/>
      <c r="B259" s="8"/>
      <c r="C259" s="8"/>
      <c r="D259" s="8"/>
      <c r="E259" s="42"/>
      <c r="F259" s="42"/>
      <c r="G259" s="42"/>
      <c r="H259" s="42"/>
      <c r="I259" s="42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>
      <c r="A260" s="8"/>
      <c r="B260" s="8"/>
      <c r="C260" s="8"/>
      <c r="D260" s="8"/>
      <c r="E260" s="42"/>
      <c r="F260" s="42"/>
      <c r="G260" s="42"/>
      <c r="H260" s="42"/>
      <c r="I260" s="42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>
      <c r="A261" s="8"/>
      <c r="B261" s="8"/>
      <c r="C261" s="8"/>
      <c r="D261" s="8"/>
      <c r="E261" s="42"/>
      <c r="F261" s="42"/>
      <c r="G261" s="42"/>
      <c r="H261" s="42"/>
      <c r="I261" s="42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>
      <c r="A262" s="8"/>
      <c r="B262" s="8"/>
      <c r="C262" s="8"/>
      <c r="D262" s="8"/>
      <c r="E262" s="42"/>
      <c r="F262" s="42"/>
      <c r="G262" s="42"/>
      <c r="H262" s="42"/>
      <c r="I262" s="42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>
      <c r="A263" s="8"/>
      <c r="B263" s="8"/>
      <c r="C263" s="8"/>
      <c r="D263" s="8"/>
      <c r="E263" s="42"/>
      <c r="F263" s="42"/>
      <c r="G263" s="42"/>
      <c r="H263" s="42"/>
      <c r="I263" s="42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>
      <c r="A264" s="8"/>
      <c r="B264" s="8"/>
      <c r="C264" s="8"/>
      <c r="D264" s="8"/>
      <c r="E264" s="42"/>
      <c r="F264" s="42"/>
      <c r="G264" s="42"/>
      <c r="H264" s="42"/>
      <c r="I264" s="42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>
      <c r="A265" s="8"/>
      <c r="B265" s="8"/>
      <c r="C265" s="8"/>
      <c r="D265" s="8"/>
      <c r="E265" s="42"/>
      <c r="F265" s="42"/>
      <c r="G265" s="42"/>
      <c r="H265" s="42"/>
      <c r="I265" s="42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>
      <c r="A266" s="8"/>
      <c r="B266" s="8"/>
      <c r="C266" s="8"/>
      <c r="D266" s="8"/>
      <c r="E266" s="42"/>
      <c r="F266" s="42"/>
      <c r="G266" s="42"/>
      <c r="H266" s="42"/>
      <c r="I266" s="42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>
      <c r="A267" s="8"/>
      <c r="B267" s="8"/>
      <c r="C267" s="8"/>
      <c r="D267" s="8"/>
      <c r="E267" s="42"/>
      <c r="F267" s="42"/>
      <c r="G267" s="42"/>
      <c r="H267" s="42"/>
      <c r="I267" s="42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>
      <c r="A268" s="8"/>
      <c r="B268" s="8"/>
      <c r="C268" s="8"/>
      <c r="D268" s="8"/>
      <c r="E268" s="42"/>
      <c r="F268" s="42"/>
      <c r="G268" s="42"/>
      <c r="H268" s="42"/>
      <c r="I268" s="42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>
      <c r="A269" s="8"/>
      <c r="B269" s="8"/>
      <c r="C269" s="8"/>
      <c r="D269" s="8"/>
      <c r="E269" s="42"/>
      <c r="F269" s="42"/>
      <c r="G269" s="42"/>
      <c r="H269" s="42"/>
      <c r="I269" s="42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>
      <c r="A270" s="8"/>
      <c r="B270" s="8"/>
      <c r="C270" s="8"/>
      <c r="D270" s="8"/>
      <c r="E270" s="42"/>
      <c r="F270" s="42"/>
      <c r="G270" s="42"/>
      <c r="H270" s="42"/>
      <c r="I270" s="42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>
      <c r="A271" s="8"/>
      <c r="B271" s="8"/>
      <c r="C271" s="8"/>
      <c r="D271" s="8"/>
      <c r="E271" s="42"/>
      <c r="F271" s="42"/>
      <c r="G271" s="42"/>
      <c r="H271" s="42"/>
      <c r="I271" s="42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>
      <c r="A272" s="8"/>
      <c r="B272" s="8"/>
      <c r="C272" s="8"/>
      <c r="D272" s="8"/>
      <c r="E272" s="42"/>
      <c r="F272" s="42"/>
      <c r="G272" s="42"/>
      <c r="H272" s="42"/>
      <c r="I272" s="42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>
      <c r="A273" s="8"/>
      <c r="B273" s="8"/>
      <c r="C273" s="8"/>
      <c r="D273" s="8"/>
      <c r="E273" s="42"/>
      <c r="F273" s="42"/>
      <c r="G273" s="42"/>
      <c r="H273" s="42"/>
      <c r="I273" s="42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>
      <c r="A274" s="8"/>
      <c r="B274" s="8"/>
      <c r="C274" s="8"/>
      <c r="D274" s="8"/>
      <c r="E274" s="42"/>
      <c r="F274" s="42"/>
      <c r="G274" s="42"/>
      <c r="H274" s="42"/>
      <c r="I274" s="42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>
      <c r="A275" s="8"/>
      <c r="B275" s="8"/>
      <c r="C275" s="8"/>
      <c r="D275" s="8"/>
      <c r="E275" s="42"/>
      <c r="F275" s="42"/>
      <c r="G275" s="42"/>
      <c r="H275" s="42"/>
      <c r="I275" s="42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>
      <c r="A276" s="8"/>
      <c r="B276" s="8"/>
      <c r="C276" s="8"/>
      <c r="D276" s="8"/>
      <c r="E276" s="42"/>
      <c r="F276" s="42"/>
      <c r="G276" s="42"/>
      <c r="H276" s="42"/>
      <c r="I276" s="42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>
      <c r="A277" s="8"/>
      <c r="B277" s="8"/>
      <c r="C277" s="8"/>
      <c r="D277" s="8"/>
      <c r="E277" s="42"/>
      <c r="F277" s="42"/>
      <c r="G277" s="42"/>
      <c r="H277" s="42"/>
      <c r="I277" s="42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>
      <c r="A278" s="8"/>
      <c r="B278" s="8"/>
      <c r="C278" s="8"/>
      <c r="D278" s="8"/>
      <c r="E278" s="42"/>
      <c r="F278" s="42"/>
      <c r="G278" s="42"/>
      <c r="H278" s="42"/>
      <c r="I278" s="42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>
      <c r="A279" s="8"/>
      <c r="B279" s="8"/>
      <c r="C279" s="8"/>
      <c r="D279" s="8"/>
      <c r="E279" s="42"/>
      <c r="F279" s="42"/>
      <c r="G279" s="42"/>
      <c r="H279" s="42"/>
      <c r="I279" s="42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>
      <c r="A280" s="8"/>
      <c r="B280" s="8"/>
      <c r="C280" s="8"/>
      <c r="D280" s="8"/>
      <c r="E280" s="42"/>
      <c r="F280" s="42"/>
      <c r="G280" s="42"/>
      <c r="H280" s="42"/>
      <c r="I280" s="42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>
      <c r="A281" s="8"/>
      <c r="B281" s="8"/>
      <c r="C281" s="8"/>
      <c r="D281" s="8"/>
      <c r="E281" s="42"/>
      <c r="F281" s="42"/>
      <c r="G281" s="42"/>
      <c r="H281" s="42"/>
      <c r="I281" s="42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>
      <c r="A282" s="8"/>
      <c r="B282" s="8"/>
      <c r="C282" s="8"/>
      <c r="D282" s="8"/>
      <c r="E282" s="42"/>
      <c r="F282" s="42"/>
      <c r="G282" s="42"/>
      <c r="H282" s="42"/>
      <c r="I282" s="42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>
      <c r="A283" s="8"/>
      <c r="B283" s="8"/>
      <c r="C283" s="8"/>
      <c r="D283" s="8"/>
      <c r="E283" s="42"/>
      <c r="F283" s="42"/>
      <c r="G283" s="42"/>
      <c r="H283" s="42"/>
      <c r="I283" s="42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>
      <c r="A284" s="8"/>
      <c r="B284" s="8"/>
      <c r="C284" s="8"/>
      <c r="D284" s="8"/>
      <c r="E284" s="42"/>
      <c r="F284" s="42"/>
      <c r="G284" s="42"/>
      <c r="H284" s="42"/>
      <c r="I284" s="42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>
      <c r="A285" s="8"/>
      <c r="B285" s="8"/>
      <c r="C285" s="8"/>
      <c r="D285" s="8"/>
      <c r="E285" s="42"/>
      <c r="F285" s="42"/>
      <c r="G285" s="42"/>
      <c r="H285" s="42"/>
      <c r="I285" s="42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>
      <c r="A286" s="8"/>
      <c r="B286" s="8"/>
      <c r="C286" s="8"/>
      <c r="D286" s="8"/>
      <c r="E286" s="42"/>
      <c r="F286" s="42"/>
      <c r="G286" s="42"/>
      <c r="H286" s="42"/>
      <c r="I286" s="42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>
      <c r="A287" s="8"/>
      <c r="B287" s="8"/>
      <c r="C287" s="8"/>
      <c r="D287" s="8"/>
      <c r="E287" s="42"/>
      <c r="F287" s="42"/>
      <c r="G287" s="42"/>
      <c r="H287" s="42"/>
      <c r="I287" s="42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>
      <c r="A288" s="8"/>
      <c r="B288" s="8"/>
      <c r="C288" s="8"/>
      <c r="D288" s="8"/>
      <c r="E288" s="42"/>
      <c r="F288" s="42"/>
      <c r="G288" s="42"/>
      <c r="H288" s="42"/>
      <c r="I288" s="42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>
      <c r="A289" s="8"/>
      <c r="B289" s="8"/>
      <c r="C289" s="8"/>
      <c r="D289" s="8"/>
      <c r="E289" s="42"/>
      <c r="F289" s="42"/>
      <c r="G289" s="42"/>
      <c r="H289" s="42"/>
      <c r="I289" s="42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>
      <c r="A290" s="8"/>
      <c r="B290" s="8"/>
      <c r="C290" s="8"/>
      <c r="D290" s="8"/>
      <c r="E290" s="42"/>
      <c r="F290" s="42"/>
      <c r="G290" s="42"/>
      <c r="H290" s="42"/>
      <c r="I290" s="42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>
      <c r="A291" s="8"/>
      <c r="B291" s="8"/>
      <c r="C291" s="8"/>
      <c r="D291" s="8"/>
      <c r="E291" s="42"/>
      <c r="F291" s="42"/>
      <c r="G291" s="42"/>
      <c r="H291" s="42"/>
      <c r="I291" s="42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>
      <c r="A292" s="8"/>
      <c r="B292" s="8"/>
      <c r="C292" s="8"/>
      <c r="D292" s="8"/>
      <c r="E292" s="42"/>
      <c r="F292" s="42"/>
      <c r="G292" s="42"/>
      <c r="H292" s="42"/>
      <c r="I292" s="42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>
      <c r="A293" s="8"/>
      <c r="B293" s="8"/>
      <c r="C293" s="8"/>
      <c r="D293" s="8"/>
      <c r="E293" s="42"/>
      <c r="F293" s="42"/>
      <c r="G293" s="42"/>
      <c r="H293" s="42"/>
      <c r="I293" s="42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>
      <c r="A294" s="8"/>
      <c r="B294" s="8"/>
      <c r="C294" s="8"/>
      <c r="D294" s="8"/>
      <c r="E294" s="42"/>
      <c r="F294" s="42"/>
      <c r="G294" s="42"/>
      <c r="H294" s="42"/>
      <c r="I294" s="42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>
      <c r="A295" s="8"/>
      <c r="B295" s="8"/>
      <c r="C295" s="8"/>
      <c r="D295" s="8"/>
      <c r="E295" s="42"/>
      <c r="F295" s="42"/>
      <c r="G295" s="42"/>
      <c r="H295" s="42"/>
      <c r="I295" s="42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>
      <c r="A296" s="8"/>
      <c r="B296" s="8"/>
      <c r="C296" s="8"/>
      <c r="D296" s="8"/>
      <c r="E296" s="42"/>
      <c r="F296" s="42"/>
      <c r="G296" s="42"/>
      <c r="H296" s="42"/>
      <c r="I296" s="42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>
      <c r="A297" s="8"/>
      <c r="B297" s="8"/>
      <c r="C297" s="8"/>
      <c r="D297" s="8"/>
      <c r="E297" s="42"/>
      <c r="F297" s="42"/>
      <c r="G297" s="42"/>
      <c r="H297" s="42"/>
      <c r="I297" s="42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>
      <c r="A298" s="8"/>
      <c r="B298" s="8"/>
      <c r="C298" s="8"/>
      <c r="D298" s="8"/>
      <c r="E298" s="42"/>
      <c r="F298" s="42"/>
      <c r="G298" s="42"/>
      <c r="H298" s="42"/>
      <c r="I298" s="42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>
      <c r="A299" s="8"/>
      <c r="B299" s="8"/>
      <c r="C299" s="8"/>
      <c r="D299" s="8"/>
      <c r="E299" s="42"/>
      <c r="F299" s="42"/>
      <c r="G299" s="42"/>
      <c r="H299" s="42"/>
      <c r="I299" s="42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>
      <c r="A300" s="8"/>
      <c r="B300" s="8"/>
      <c r="C300" s="8"/>
      <c r="D300" s="8"/>
      <c r="E300" s="42"/>
      <c r="F300" s="42"/>
      <c r="G300" s="42"/>
      <c r="H300" s="42"/>
      <c r="I300" s="42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>
      <c r="A301" s="8"/>
      <c r="B301" s="8"/>
      <c r="C301" s="8"/>
      <c r="D301" s="8"/>
      <c r="E301" s="42"/>
      <c r="F301" s="42"/>
      <c r="G301" s="42"/>
      <c r="H301" s="42"/>
      <c r="I301" s="42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>
      <c r="A302" s="8"/>
      <c r="B302" s="8"/>
      <c r="C302" s="8"/>
      <c r="D302" s="8"/>
      <c r="E302" s="42"/>
      <c r="F302" s="42"/>
      <c r="G302" s="42"/>
      <c r="H302" s="42"/>
      <c r="I302" s="42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>
      <c r="A303" s="8"/>
      <c r="B303" s="8"/>
      <c r="C303" s="8"/>
      <c r="D303" s="8"/>
      <c r="E303" s="42"/>
      <c r="F303" s="42"/>
      <c r="G303" s="42"/>
      <c r="H303" s="42"/>
      <c r="I303" s="42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>
      <c r="A304" s="8"/>
      <c r="B304" s="8"/>
      <c r="C304" s="8"/>
      <c r="D304" s="8"/>
      <c r="E304" s="42"/>
      <c r="F304" s="42"/>
      <c r="G304" s="42"/>
      <c r="H304" s="42"/>
      <c r="I304" s="42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>
      <c r="A305" s="8"/>
      <c r="B305" s="8"/>
      <c r="C305" s="8"/>
      <c r="D305" s="8"/>
      <c r="E305" s="42"/>
      <c r="F305" s="42"/>
      <c r="G305" s="42"/>
      <c r="H305" s="42"/>
      <c r="I305" s="42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>
      <c r="A306" s="8"/>
      <c r="B306" s="8"/>
      <c r="C306" s="8"/>
      <c r="D306" s="8"/>
      <c r="E306" s="42"/>
      <c r="F306" s="42"/>
      <c r="G306" s="42"/>
      <c r="H306" s="42"/>
      <c r="I306" s="42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>
      <c r="A307" s="8"/>
      <c r="B307" s="8"/>
      <c r="C307" s="8"/>
      <c r="D307" s="8"/>
      <c r="E307" s="42"/>
      <c r="F307" s="42"/>
      <c r="G307" s="42"/>
      <c r="H307" s="42"/>
      <c r="I307" s="42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>
      <c r="A308" s="8"/>
      <c r="B308" s="8"/>
      <c r="C308" s="8"/>
      <c r="D308" s="8"/>
      <c r="E308" s="42"/>
      <c r="F308" s="42"/>
      <c r="G308" s="42"/>
      <c r="H308" s="42"/>
      <c r="I308" s="42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>
      <c r="A309" s="8"/>
      <c r="B309" s="8"/>
      <c r="C309" s="8"/>
      <c r="D309" s="8"/>
      <c r="E309" s="42"/>
      <c r="F309" s="42"/>
      <c r="G309" s="42"/>
      <c r="H309" s="42"/>
      <c r="I309" s="42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>
      <c r="A310" s="8"/>
      <c r="B310" s="8"/>
      <c r="C310" s="8"/>
      <c r="D310" s="8"/>
      <c r="E310" s="42"/>
      <c r="F310" s="42"/>
      <c r="G310" s="42"/>
      <c r="H310" s="42"/>
      <c r="I310" s="42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>
      <c r="A311" s="8"/>
      <c r="B311" s="8"/>
      <c r="C311" s="8"/>
      <c r="D311" s="8"/>
      <c r="E311" s="42"/>
      <c r="F311" s="42"/>
      <c r="G311" s="42"/>
      <c r="H311" s="42"/>
      <c r="I311" s="42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>
      <c r="A312" s="8"/>
      <c r="B312" s="8"/>
      <c r="C312" s="8"/>
      <c r="D312" s="8"/>
      <c r="E312" s="42"/>
      <c r="F312" s="42"/>
      <c r="G312" s="42"/>
      <c r="H312" s="42"/>
      <c r="I312" s="42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>
      <c r="A313" s="8"/>
      <c r="B313" s="8"/>
      <c r="C313" s="8"/>
      <c r="D313" s="8"/>
      <c r="E313" s="42"/>
      <c r="F313" s="42"/>
      <c r="G313" s="42"/>
      <c r="H313" s="42"/>
      <c r="I313" s="42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>
      <c r="A314" s="8"/>
      <c r="B314" s="8"/>
      <c r="C314" s="8"/>
      <c r="D314" s="8"/>
      <c r="E314" s="42"/>
      <c r="F314" s="42"/>
      <c r="G314" s="42"/>
      <c r="H314" s="42"/>
      <c r="I314" s="42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>
      <c r="A315" s="8"/>
      <c r="B315" s="8"/>
      <c r="C315" s="8"/>
      <c r="D315" s="8"/>
      <c r="E315" s="42"/>
      <c r="F315" s="42"/>
      <c r="G315" s="42"/>
      <c r="H315" s="42"/>
      <c r="I315" s="42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>
      <c r="A316" s="8"/>
      <c r="B316" s="8"/>
      <c r="C316" s="8"/>
      <c r="D316" s="8"/>
      <c r="E316" s="42"/>
      <c r="F316" s="42"/>
      <c r="G316" s="42"/>
      <c r="H316" s="42"/>
      <c r="I316" s="42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>
      <c r="A317" s="8"/>
      <c r="B317" s="8"/>
      <c r="C317" s="8"/>
      <c r="D317" s="8"/>
      <c r="E317" s="42"/>
      <c r="F317" s="42"/>
      <c r="G317" s="42"/>
      <c r="H317" s="42"/>
      <c r="I317" s="42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>
      <c r="A318" s="8"/>
      <c r="B318" s="8"/>
      <c r="C318" s="8"/>
      <c r="D318" s="8"/>
      <c r="E318" s="42"/>
      <c r="F318" s="42"/>
      <c r="G318" s="42"/>
      <c r="H318" s="42"/>
      <c r="I318" s="42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>
      <c r="A319" s="8"/>
      <c r="B319" s="8"/>
      <c r="C319" s="8"/>
      <c r="D319" s="8"/>
      <c r="E319" s="42"/>
      <c r="F319" s="42"/>
      <c r="G319" s="42"/>
      <c r="H319" s="42"/>
      <c r="I319" s="42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>
      <c r="A320" s="8"/>
      <c r="B320" s="8"/>
      <c r="C320" s="8"/>
      <c r="D320" s="8"/>
      <c r="E320" s="42"/>
      <c r="F320" s="42"/>
      <c r="G320" s="42"/>
      <c r="H320" s="42"/>
      <c r="I320" s="42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>
      <c r="A321" s="8"/>
      <c r="B321" s="8"/>
      <c r="C321" s="8"/>
      <c r="D321" s="8"/>
      <c r="E321" s="42"/>
      <c r="F321" s="42"/>
      <c r="G321" s="42"/>
      <c r="H321" s="42"/>
      <c r="I321" s="42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>
      <c r="A322" s="8"/>
      <c r="B322" s="8"/>
      <c r="C322" s="8"/>
      <c r="D322" s="8"/>
      <c r="E322" s="42"/>
      <c r="F322" s="42"/>
      <c r="G322" s="42"/>
      <c r="H322" s="42"/>
      <c r="I322" s="42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>
      <c r="A323" s="8"/>
      <c r="B323" s="8"/>
      <c r="C323" s="8"/>
      <c r="D323" s="8"/>
      <c r="E323" s="42"/>
      <c r="F323" s="42"/>
      <c r="G323" s="42"/>
      <c r="H323" s="42"/>
      <c r="I323" s="42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>
      <c r="A324" s="8"/>
      <c r="B324" s="8"/>
      <c r="C324" s="8"/>
      <c r="D324" s="8"/>
      <c r="E324" s="42"/>
      <c r="F324" s="42"/>
      <c r="G324" s="42"/>
      <c r="H324" s="42"/>
      <c r="I324" s="42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>
      <c r="A325" s="8"/>
      <c r="B325" s="8"/>
      <c r="C325" s="8"/>
      <c r="D325" s="8"/>
      <c r="E325" s="42"/>
      <c r="F325" s="42"/>
      <c r="G325" s="42"/>
      <c r="H325" s="42"/>
      <c r="I325" s="42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>
      <c r="A326" s="8"/>
      <c r="B326" s="8"/>
      <c r="C326" s="8"/>
      <c r="D326" s="8"/>
      <c r="E326" s="42"/>
      <c r="F326" s="42"/>
      <c r="G326" s="42"/>
      <c r="H326" s="42"/>
      <c r="I326" s="42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>
      <c r="A327" s="8"/>
      <c r="B327" s="8"/>
      <c r="C327" s="8"/>
      <c r="D327" s="8"/>
      <c r="E327" s="42"/>
      <c r="F327" s="42"/>
      <c r="G327" s="42"/>
      <c r="H327" s="42"/>
      <c r="I327" s="42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>
      <c r="A328" s="8"/>
      <c r="B328" s="8"/>
      <c r="C328" s="8"/>
      <c r="D328" s="8"/>
      <c r="E328" s="42"/>
      <c r="F328" s="42"/>
      <c r="G328" s="42"/>
      <c r="H328" s="42"/>
      <c r="I328" s="42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>
      <c r="A329" s="8"/>
      <c r="B329" s="8"/>
      <c r="C329" s="8"/>
      <c r="D329" s="8"/>
      <c r="E329" s="42"/>
      <c r="F329" s="42"/>
      <c r="G329" s="42"/>
      <c r="H329" s="42"/>
      <c r="I329" s="42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>
      <c r="A330" s="8"/>
      <c r="B330" s="8"/>
      <c r="C330" s="8"/>
      <c r="D330" s="8"/>
      <c r="E330" s="42"/>
      <c r="F330" s="42"/>
      <c r="G330" s="42"/>
      <c r="H330" s="42"/>
      <c r="I330" s="42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>
      <c r="A331" s="8"/>
      <c r="B331" s="8"/>
      <c r="C331" s="8"/>
      <c r="D331" s="8"/>
      <c r="E331" s="42"/>
      <c r="F331" s="42"/>
      <c r="G331" s="42"/>
      <c r="H331" s="42"/>
      <c r="I331" s="42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>
      <c r="A332" s="8"/>
      <c r="B332" s="8"/>
      <c r="C332" s="8"/>
      <c r="D332" s="8"/>
      <c r="E332" s="42"/>
      <c r="F332" s="42"/>
      <c r="G332" s="42"/>
      <c r="H332" s="42"/>
      <c r="I332" s="42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>
      <c r="A333" s="8"/>
      <c r="B333" s="8"/>
      <c r="C333" s="8"/>
      <c r="D333" s="8"/>
      <c r="E333" s="42"/>
      <c r="F333" s="42"/>
      <c r="G333" s="42"/>
      <c r="H333" s="42"/>
      <c r="I333" s="42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>
      <c r="A334" s="8"/>
      <c r="B334" s="8"/>
      <c r="C334" s="8"/>
      <c r="D334" s="8"/>
      <c r="E334" s="42"/>
      <c r="F334" s="42"/>
      <c r="G334" s="42"/>
      <c r="H334" s="42"/>
      <c r="I334" s="42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>
      <c r="A335" s="8"/>
      <c r="B335" s="8"/>
      <c r="C335" s="8"/>
      <c r="D335" s="8"/>
      <c r="E335" s="42"/>
      <c r="F335" s="42"/>
      <c r="G335" s="42"/>
      <c r="H335" s="42"/>
      <c r="I335" s="42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>
      <c r="A336" s="8"/>
      <c r="B336" s="8"/>
      <c r="C336" s="8"/>
      <c r="D336" s="8"/>
      <c r="E336" s="42"/>
      <c r="F336" s="42"/>
      <c r="G336" s="42"/>
      <c r="H336" s="42"/>
      <c r="I336" s="42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>
      <c r="A337" s="8"/>
      <c r="B337" s="8"/>
      <c r="C337" s="8"/>
      <c r="D337" s="8"/>
      <c r="E337" s="42"/>
      <c r="F337" s="42"/>
      <c r="G337" s="42"/>
      <c r="H337" s="42"/>
      <c r="I337" s="42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>
      <c r="A338" s="8"/>
      <c r="B338" s="8"/>
      <c r="C338" s="8"/>
      <c r="D338" s="8"/>
      <c r="E338" s="42"/>
      <c r="F338" s="42"/>
      <c r="G338" s="42"/>
      <c r="H338" s="42"/>
      <c r="I338" s="42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>
      <c r="A339" s="8"/>
      <c r="B339" s="8"/>
      <c r="C339" s="8"/>
      <c r="D339" s="8"/>
      <c r="E339" s="42"/>
      <c r="F339" s="42"/>
      <c r="G339" s="42"/>
      <c r="H339" s="42"/>
      <c r="I339" s="42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>
      <c r="A340" s="8"/>
      <c r="B340" s="8"/>
      <c r="C340" s="8"/>
      <c r="D340" s="8"/>
      <c r="E340" s="42"/>
      <c r="F340" s="42"/>
      <c r="G340" s="42"/>
      <c r="H340" s="42"/>
      <c r="I340" s="42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>
      <c r="A341" s="8"/>
      <c r="B341" s="8"/>
      <c r="C341" s="8"/>
      <c r="D341" s="8"/>
      <c r="E341" s="42"/>
      <c r="F341" s="42"/>
      <c r="G341" s="42"/>
      <c r="H341" s="42"/>
      <c r="I341" s="42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>
      <c r="A342" s="8"/>
      <c r="B342" s="8"/>
      <c r="C342" s="8"/>
      <c r="D342" s="8"/>
      <c r="E342" s="42"/>
      <c r="F342" s="42"/>
      <c r="G342" s="42"/>
      <c r="H342" s="42"/>
      <c r="I342" s="42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>
      <c r="A343" s="8"/>
      <c r="B343" s="8"/>
      <c r="C343" s="8"/>
      <c r="D343" s="8"/>
      <c r="E343" s="42"/>
      <c r="F343" s="42"/>
      <c r="G343" s="42"/>
      <c r="H343" s="42"/>
      <c r="I343" s="42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>
      <c r="A344" s="8"/>
      <c r="B344" s="8"/>
      <c r="C344" s="8"/>
      <c r="D344" s="8"/>
      <c r="E344" s="42"/>
      <c r="F344" s="42"/>
      <c r="G344" s="42"/>
      <c r="H344" s="42"/>
      <c r="I344" s="42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>
      <c r="A345" s="8"/>
      <c r="B345" s="8"/>
      <c r="C345" s="8"/>
      <c r="D345" s="8"/>
      <c r="E345" s="42"/>
      <c r="F345" s="42"/>
      <c r="G345" s="42"/>
      <c r="H345" s="42"/>
      <c r="I345" s="42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>
      <c r="A346" s="8"/>
      <c r="B346" s="8"/>
      <c r="C346" s="8"/>
      <c r="D346" s="8"/>
      <c r="E346" s="42"/>
      <c r="F346" s="42"/>
      <c r="G346" s="42"/>
      <c r="H346" s="42"/>
      <c r="I346" s="42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>
      <c r="A347" s="8"/>
      <c r="B347" s="8"/>
      <c r="C347" s="8"/>
      <c r="D347" s="8"/>
      <c r="E347" s="42"/>
      <c r="F347" s="42"/>
      <c r="G347" s="42"/>
      <c r="H347" s="42"/>
      <c r="I347" s="42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>
      <c r="A348" s="8"/>
      <c r="B348" s="8"/>
      <c r="C348" s="8"/>
      <c r="D348" s="8"/>
      <c r="E348" s="42"/>
      <c r="F348" s="42"/>
      <c r="G348" s="42"/>
      <c r="H348" s="42"/>
      <c r="I348" s="42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>
      <c r="A349" s="8"/>
      <c r="B349" s="8"/>
      <c r="C349" s="8"/>
      <c r="D349" s="8"/>
      <c r="E349" s="42"/>
      <c r="F349" s="42"/>
      <c r="G349" s="42"/>
      <c r="H349" s="42"/>
      <c r="I349" s="42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>
      <c r="A350" s="8"/>
      <c r="B350" s="8"/>
      <c r="C350" s="8"/>
      <c r="D350" s="8"/>
      <c r="E350" s="42"/>
      <c r="F350" s="42"/>
      <c r="G350" s="42"/>
      <c r="H350" s="42"/>
      <c r="I350" s="42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>
      <c r="A351" s="8"/>
      <c r="B351" s="8"/>
      <c r="C351" s="8"/>
      <c r="D351" s="8"/>
      <c r="E351" s="42"/>
      <c r="F351" s="42"/>
      <c r="G351" s="42"/>
      <c r="H351" s="42"/>
      <c r="I351" s="42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>
      <c r="A352" s="8"/>
      <c r="B352" s="8"/>
      <c r="C352" s="8"/>
      <c r="D352" s="8"/>
      <c r="E352" s="42"/>
      <c r="F352" s="42"/>
      <c r="G352" s="42"/>
      <c r="H352" s="42"/>
      <c r="I352" s="42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>
      <c r="A353" s="8"/>
      <c r="B353" s="8"/>
      <c r="C353" s="8"/>
      <c r="D353" s="8"/>
      <c r="E353" s="42"/>
      <c r="F353" s="42"/>
      <c r="G353" s="42"/>
      <c r="H353" s="42"/>
      <c r="I353" s="42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>
      <c r="A354" s="8"/>
      <c r="B354" s="8"/>
      <c r="C354" s="8"/>
      <c r="D354" s="8"/>
      <c r="E354" s="42"/>
      <c r="F354" s="42"/>
      <c r="G354" s="42"/>
      <c r="H354" s="42"/>
      <c r="I354" s="42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>
      <c r="A355" s="8"/>
      <c r="B355" s="8"/>
      <c r="C355" s="8"/>
      <c r="D355" s="8"/>
      <c r="E355" s="42"/>
      <c r="F355" s="42"/>
      <c r="G355" s="42"/>
      <c r="H355" s="42"/>
      <c r="I355" s="42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>
      <c r="A356" s="8"/>
      <c r="B356" s="8"/>
      <c r="C356" s="8"/>
      <c r="D356" s="8"/>
      <c r="E356" s="42"/>
      <c r="F356" s="42"/>
      <c r="G356" s="42"/>
      <c r="H356" s="42"/>
      <c r="I356" s="42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>
      <c r="A357" s="8"/>
      <c r="B357" s="8"/>
      <c r="C357" s="8"/>
      <c r="D357" s="8"/>
      <c r="E357" s="42"/>
      <c r="F357" s="42"/>
      <c r="G357" s="42"/>
      <c r="H357" s="42"/>
      <c r="I357" s="42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>
      <c r="A358" s="8"/>
      <c r="B358" s="8"/>
      <c r="C358" s="8"/>
      <c r="D358" s="8"/>
      <c r="E358" s="42"/>
      <c r="F358" s="42"/>
      <c r="G358" s="42"/>
      <c r="H358" s="42"/>
      <c r="I358" s="42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>
      <c r="A359" s="8"/>
      <c r="B359" s="8"/>
      <c r="C359" s="8"/>
      <c r="D359" s="8"/>
      <c r="E359" s="42"/>
      <c r="F359" s="42"/>
      <c r="G359" s="42"/>
      <c r="H359" s="42"/>
      <c r="I359" s="42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>
      <c r="A360" s="8"/>
      <c r="B360" s="8"/>
      <c r="C360" s="8"/>
      <c r="D360" s="8"/>
      <c r="E360" s="42"/>
      <c r="F360" s="42"/>
      <c r="G360" s="42"/>
      <c r="H360" s="42"/>
      <c r="I360" s="42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>
      <c r="A361" s="8"/>
      <c r="B361" s="8"/>
      <c r="C361" s="8"/>
      <c r="D361" s="8"/>
      <c r="E361" s="42"/>
      <c r="F361" s="42"/>
      <c r="G361" s="42"/>
      <c r="H361" s="42"/>
      <c r="I361" s="42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>
      <c r="A362" s="8"/>
      <c r="B362" s="8"/>
      <c r="C362" s="8"/>
      <c r="D362" s="8"/>
      <c r="E362" s="42"/>
      <c r="F362" s="42"/>
      <c r="G362" s="42"/>
      <c r="H362" s="42"/>
      <c r="I362" s="42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>
      <c r="A363" s="8"/>
      <c r="B363" s="8"/>
      <c r="C363" s="8"/>
      <c r="D363" s="8"/>
      <c r="E363" s="42"/>
      <c r="F363" s="42"/>
      <c r="G363" s="42"/>
      <c r="H363" s="42"/>
      <c r="I363" s="42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>
      <c r="A364" s="8"/>
      <c r="B364" s="8"/>
      <c r="C364" s="8"/>
      <c r="D364" s="8"/>
      <c r="E364" s="42"/>
      <c r="F364" s="42"/>
      <c r="G364" s="42"/>
      <c r="H364" s="42"/>
      <c r="I364" s="42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>
      <c r="A365" s="8"/>
      <c r="B365" s="8"/>
      <c r="C365" s="8"/>
      <c r="D365" s="8"/>
      <c r="E365" s="42"/>
      <c r="F365" s="42"/>
      <c r="G365" s="42"/>
      <c r="H365" s="42"/>
      <c r="I365" s="42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>
      <c r="A366" s="8"/>
      <c r="B366" s="8"/>
      <c r="C366" s="8"/>
      <c r="D366" s="8"/>
      <c r="E366" s="42"/>
      <c r="F366" s="42"/>
      <c r="G366" s="42"/>
      <c r="H366" s="42"/>
      <c r="I366" s="42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>
      <c r="A367" s="8"/>
      <c r="B367" s="8"/>
      <c r="C367" s="8"/>
      <c r="D367" s="8"/>
      <c r="E367" s="42"/>
      <c r="F367" s="42"/>
      <c r="G367" s="42"/>
      <c r="H367" s="42"/>
      <c r="I367" s="42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>
      <c r="A368" s="8"/>
      <c r="B368" s="8"/>
      <c r="C368" s="8"/>
      <c r="D368" s="8"/>
      <c r="E368" s="42"/>
      <c r="F368" s="42"/>
      <c r="G368" s="42"/>
      <c r="H368" s="42"/>
      <c r="I368" s="42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>
      <c r="A369" s="8"/>
      <c r="B369" s="8"/>
      <c r="C369" s="8"/>
      <c r="D369" s="8"/>
      <c r="E369" s="42"/>
      <c r="F369" s="42"/>
      <c r="G369" s="42"/>
      <c r="H369" s="42"/>
      <c r="I369" s="42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>
      <c r="A370" s="8"/>
      <c r="B370" s="8"/>
      <c r="C370" s="8"/>
      <c r="D370" s="8"/>
      <c r="E370" s="42"/>
      <c r="F370" s="42"/>
      <c r="G370" s="42"/>
      <c r="H370" s="42"/>
      <c r="I370" s="42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>
      <c r="A371" s="8"/>
      <c r="B371" s="8"/>
      <c r="C371" s="8"/>
      <c r="D371" s="8"/>
      <c r="E371" s="42"/>
      <c r="F371" s="42"/>
      <c r="G371" s="42"/>
      <c r="H371" s="42"/>
      <c r="I371" s="42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>
      <c r="A372" s="8"/>
      <c r="B372" s="8"/>
      <c r="C372" s="8"/>
      <c r="D372" s="8"/>
      <c r="E372" s="42"/>
      <c r="F372" s="42"/>
      <c r="G372" s="42"/>
      <c r="H372" s="42"/>
      <c r="I372" s="42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>
      <c r="A373" s="8"/>
      <c r="B373" s="8"/>
      <c r="C373" s="8"/>
      <c r="D373" s="8"/>
      <c r="E373" s="42"/>
      <c r="F373" s="42"/>
      <c r="G373" s="42"/>
      <c r="H373" s="42"/>
      <c r="I373" s="42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>
      <c r="A374" s="8"/>
      <c r="B374" s="8"/>
      <c r="C374" s="8"/>
      <c r="D374" s="8"/>
      <c r="E374" s="42"/>
      <c r="F374" s="42"/>
      <c r="G374" s="42"/>
      <c r="H374" s="42"/>
      <c r="I374" s="42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>
      <c r="A375" s="8"/>
      <c r="B375" s="8"/>
      <c r="C375" s="8"/>
      <c r="D375" s="8"/>
      <c r="E375" s="42"/>
      <c r="F375" s="42"/>
      <c r="G375" s="42"/>
      <c r="H375" s="42"/>
      <c r="I375" s="42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>
      <c r="A376" s="8"/>
      <c r="B376" s="8"/>
      <c r="C376" s="8"/>
      <c r="D376" s="8"/>
      <c r="E376" s="42"/>
      <c r="F376" s="42"/>
      <c r="G376" s="42"/>
      <c r="H376" s="42"/>
      <c r="I376" s="42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>
      <c r="A377" s="8"/>
      <c r="B377" s="8"/>
      <c r="C377" s="8"/>
      <c r="D377" s="8"/>
      <c r="E377" s="42"/>
      <c r="F377" s="42"/>
      <c r="G377" s="42"/>
      <c r="H377" s="42"/>
      <c r="I377" s="42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>
      <c r="A378" s="8"/>
      <c r="B378" s="8"/>
      <c r="C378" s="8"/>
      <c r="D378" s="8"/>
      <c r="E378" s="42"/>
      <c r="F378" s="42"/>
      <c r="G378" s="42"/>
      <c r="H378" s="42"/>
      <c r="I378" s="42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>
      <c r="A379" s="8"/>
      <c r="B379" s="8"/>
      <c r="C379" s="8"/>
      <c r="D379" s="8"/>
      <c r="E379" s="42"/>
      <c r="F379" s="42"/>
      <c r="G379" s="42"/>
      <c r="H379" s="42"/>
      <c r="I379" s="42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>
      <c r="A380" s="8"/>
      <c r="B380" s="8"/>
      <c r="C380" s="8"/>
      <c r="D380" s="8"/>
      <c r="E380" s="42"/>
      <c r="F380" s="42"/>
      <c r="G380" s="42"/>
      <c r="H380" s="42"/>
      <c r="I380" s="42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>
      <c r="A381" s="8"/>
      <c r="B381" s="8"/>
      <c r="C381" s="8"/>
      <c r="D381" s="8"/>
      <c r="E381" s="42"/>
      <c r="F381" s="42"/>
      <c r="G381" s="42"/>
      <c r="H381" s="42"/>
      <c r="I381" s="42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>
      <c r="A382" s="8"/>
      <c r="B382" s="8"/>
      <c r="C382" s="8"/>
      <c r="D382" s="8"/>
      <c r="E382" s="42"/>
      <c r="F382" s="42"/>
      <c r="G382" s="42"/>
      <c r="H382" s="42"/>
      <c r="I382" s="42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>
      <c r="A383" s="8"/>
      <c r="B383" s="8"/>
      <c r="C383" s="8"/>
      <c r="D383" s="8"/>
      <c r="E383" s="42"/>
      <c r="F383" s="42"/>
      <c r="G383" s="42"/>
      <c r="H383" s="42"/>
      <c r="I383" s="42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>
      <c r="A384" s="8"/>
      <c r="B384" s="8"/>
      <c r="C384" s="8"/>
      <c r="D384" s="8"/>
      <c r="E384" s="42"/>
      <c r="F384" s="42"/>
      <c r="G384" s="42"/>
      <c r="H384" s="42"/>
      <c r="I384" s="42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>
      <c r="A385" s="8"/>
      <c r="B385" s="8"/>
      <c r="C385" s="8"/>
      <c r="D385" s="8"/>
      <c r="E385" s="42"/>
      <c r="F385" s="42"/>
      <c r="G385" s="42"/>
      <c r="H385" s="42"/>
      <c r="I385" s="42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>
      <c r="A386" s="8"/>
      <c r="B386" s="8"/>
      <c r="C386" s="8"/>
      <c r="D386" s="8"/>
      <c r="E386" s="42"/>
      <c r="F386" s="42"/>
      <c r="G386" s="42"/>
      <c r="H386" s="42"/>
      <c r="I386" s="42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>
      <c r="A387" s="8"/>
      <c r="B387" s="8"/>
      <c r="C387" s="8"/>
      <c r="D387" s="8"/>
      <c r="E387" s="42"/>
      <c r="F387" s="42"/>
      <c r="G387" s="42"/>
      <c r="H387" s="42"/>
      <c r="I387" s="42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>
      <c r="A388" s="8"/>
      <c r="B388" s="8"/>
      <c r="C388" s="8"/>
      <c r="D388" s="8"/>
      <c r="E388" s="42"/>
      <c r="F388" s="42"/>
      <c r="G388" s="42"/>
      <c r="H388" s="42"/>
      <c r="I388" s="42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>
      <c r="A389" s="8"/>
      <c r="B389" s="8"/>
      <c r="C389" s="8"/>
      <c r="D389" s="8"/>
      <c r="E389" s="42"/>
      <c r="F389" s="42"/>
      <c r="G389" s="42"/>
      <c r="H389" s="42"/>
      <c r="I389" s="42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>
      <c r="A390" s="8"/>
      <c r="B390" s="8"/>
      <c r="C390" s="8"/>
      <c r="D390" s="8"/>
      <c r="E390" s="42"/>
      <c r="F390" s="42"/>
      <c r="G390" s="42"/>
      <c r="H390" s="42"/>
      <c r="I390" s="42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>
      <c r="A391" s="8"/>
      <c r="B391" s="8"/>
      <c r="C391" s="8"/>
      <c r="D391" s="8"/>
      <c r="E391" s="42"/>
      <c r="F391" s="42"/>
      <c r="G391" s="42"/>
      <c r="H391" s="42"/>
      <c r="I391" s="42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>
      <c r="A392" s="8"/>
      <c r="B392" s="8"/>
      <c r="C392" s="8"/>
      <c r="D392" s="8"/>
      <c r="E392" s="42"/>
      <c r="F392" s="42"/>
      <c r="G392" s="42"/>
      <c r="H392" s="42"/>
      <c r="I392" s="42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>
      <c r="A393" s="8"/>
      <c r="B393" s="8"/>
      <c r="C393" s="8"/>
      <c r="D393" s="8"/>
      <c r="E393" s="42"/>
      <c r="F393" s="42"/>
      <c r="G393" s="42"/>
      <c r="H393" s="42"/>
      <c r="I393" s="42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>
      <c r="A394" s="8"/>
      <c r="B394" s="8"/>
      <c r="C394" s="8"/>
      <c r="D394" s="8"/>
      <c r="E394" s="42"/>
      <c r="F394" s="42"/>
      <c r="G394" s="42"/>
      <c r="H394" s="42"/>
      <c r="I394" s="42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>
      <c r="A395" s="8"/>
      <c r="B395" s="8"/>
      <c r="C395" s="8"/>
      <c r="D395" s="8"/>
      <c r="E395" s="42"/>
      <c r="F395" s="42"/>
      <c r="G395" s="42"/>
      <c r="H395" s="42"/>
      <c r="I395" s="42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>
      <c r="A396" s="8"/>
      <c r="B396" s="8"/>
      <c r="C396" s="8"/>
      <c r="D396" s="8"/>
      <c r="E396" s="42"/>
      <c r="F396" s="42"/>
      <c r="G396" s="42"/>
      <c r="H396" s="42"/>
      <c r="I396" s="42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>
      <c r="A397" s="8"/>
      <c r="B397" s="8"/>
      <c r="C397" s="8"/>
      <c r="D397" s="8"/>
      <c r="E397" s="42"/>
      <c r="F397" s="42"/>
      <c r="G397" s="42"/>
      <c r="H397" s="42"/>
      <c r="I397" s="42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>
      <c r="A398" s="8"/>
      <c r="B398" s="8"/>
      <c r="C398" s="8"/>
      <c r="D398" s="8"/>
      <c r="E398" s="42"/>
      <c r="F398" s="42"/>
      <c r="G398" s="42"/>
      <c r="H398" s="42"/>
      <c r="I398" s="42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>
      <c r="A399" s="8"/>
      <c r="B399" s="8"/>
      <c r="C399" s="8"/>
      <c r="D399" s="8"/>
      <c r="E399" s="42"/>
      <c r="F399" s="42"/>
      <c r="G399" s="42"/>
      <c r="H399" s="42"/>
      <c r="I399" s="42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>
      <c r="A400" s="8"/>
      <c r="B400" s="8"/>
      <c r="C400" s="8"/>
      <c r="D400" s="8"/>
      <c r="E400" s="42"/>
      <c r="F400" s="42"/>
      <c r="G400" s="42"/>
      <c r="H400" s="42"/>
      <c r="I400" s="42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>
      <c r="A401" s="8"/>
      <c r="B401" s="8"/>
      <c r="C401" s="8"/>
      <c r="D401" s="8"/>
      <c r="E401" s="42"/>
      <c r="F401" s="42"/>
      <c r="G401" s="42"/>
      <c r="H401" s="42"/>
      <c r="I401" s="42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>
      <c r="A402" s="8"/>
      <c r="B402" s="8"/>
      <c r="C402" s="8"/>
      <c r="D402" s="8"/>
      <c r="E402" s="42"/>
      <c r="F402" s="42"/>
      <c r="G402" s="42"/>
      <c r="H402" s="42"/>
      <c r="I402" s="42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>
      <c r="A403" s="8"/>
      <c r="B403" s="8"/>
      <c r="C403" s="8"/>
      <c r="D403" s="8"/>
      <c r="E403" s="42"/>
      <c r="F403" s="42"/>
      <c r="G403" s="42"/>
      <c r="H403" s="42"/>
      <c r="I403" s="42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>
      <c r="A404" s="8"/>
      <c r="B404" s="8"/>
      <c r="C404" s="8"/>
      <c r="D404" s="8"/>
      <c r="E404" s="42"/>
      <c r="F404" s="42"/>
      <c r="G404" s="42"/>
      <c r="H404" s="42"/>
      <c r="I404" s="42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>
      <c r="A405" s="8"/>
      <c r="B405" s="8"/>
      <c r="C405" s="8"/>
      <c r="D405" s="8"/>
      <c r="E405" s="42"/>
      <c r="F405" s="42"/>
      <c r="G405" s="42"/>
      <c r="H405" s="42"/>
      <c r="I405" s="42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>
      <c r="A406" s="8"/>
      <c r="B406" s="8"/>
      <c r="C406" s="8"/>
      <c r="D406" s="8"/>
      <c r="E406" s="42"/>
      <c r="F406" s="42"/>
      <c r="G406" s="42"/>
      <c r="H406" s="42"/>
      <c r="I406" s="42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>
      <c r="A407" s="8"/>
      <c r="B407" s="8"/>
      <c r="C407" s="8"/>
      <c r="D407" s="8"/>
      <c r="E407" s="42"/>
      <c r="F407" s="42"/>
      <c r="G407" s="42"/>
      <c r="H407" s="42"/>
      <c r="I407" s="42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>
      <c r="A408" s="8"/>
      <c r="B408" s="8"/>
      <c r="C408" s="8"/>
      <c r="D408" s="8"/>
      <c r="E408" s="42"/>
      <c r="F408" s="42"/>
      <c r="G408" s="42"/>
      <c r="H408" s="42"/>
      <c r="I408" s="42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>
      <c r="A409" s="8"/>
      <c r="B409" s="8"/>
      <c r="C409" s="8"/>
      <c r="D409" s="8"/>
      <c r="E409" s="42"/>
      <c r="F409" s="42"/>
      <c r="G409" s="42"/>
      <c r="H409" s="42"/>
      <c r="I409" s="42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>
      <c r="A410" s="8"/>
      <c r="B410" s="8"/>
      <c r="C410" s="8"/>
      <c r="D410" s="8"/>
      <c r="E410" s="42"/>
      <c r="F410" s="42"/>
      <c r="G410" s="42"/>
      <c r="H410" s="42"/>
      <c r="I410" s="42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>
      <c r="A411" s="8"/>
      <c r="B411" s="8"/>
      <c r="C411" s="8"/>
      <c r="D411" s="8"/>
      <c r="E411" s="42"/>
      <c r="F411" s="42"/>
      <c r="G411" s="42"/>
      <c r="H411" s="42"/>
      <c r="I411" s="42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>
      <c r="A412" s="8"/>
      <c r="B412" s="8"/>
      <c r="C412" s="8"/>
      <c r="D412" s="8"/>
      <c r="E412" s="42"/>
      <c r="F412" s="42"/>
      <c r="G412" s="42"/>
      <c r="H412" s="42"/>
      <c r="I412" s="42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>
      <c r="A413" s="8"/>
      <c r="B413" s="8"/>
      <c r="C413" s="8"/>
      <c r="D413" s="8"/>
      <c r="E413" s="42"/>
      <c r="F413" s="42"/>
      <c r="G413" s="42"/>
      <c r="H413" s="42"/>
      <c r="I413" s="42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>
      <c r="A414" s="8"/>
      <c r="B414" s="8"/>
      <c r="C414" s="8"/>
      <c r="D414" s="8"/>
      <c r="E414" s="42"/>
      <c r="F414" s="42"/>
      <c r="G414" s="42"/>
      <c r="H414" s="42"/>
      <c r="I414" s="42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>
      <c r="A415" s="8"/>
      <c r="B415" s="8"/>
      <c r="C415" s="8"/>
      <c r="D415" s="8"/>
      <c r="E415" s="42"/>
      <c r="F415" s="42"/>
      <c r="G415" s="42"/>
      <c r="H415" s="42"/>
      <c r="I415" s="42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>
      <c r="A416" s="8"/>
      <c r="B416" s="8"/>
      <c r="C416" s="8"/>
      <c r="D416" s="8"/>
      <c r="E416" s="42"/>
      <c r="F416" s="42"/>
      <c r="G416" s="42"/>
      <c r="H416" s="42"/>
      <c r="I416" s="42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>
      <c r="A417" s="8"/>
      <c r="B417" s="8"/>
      <c r="C417" s="8"/>
      <c r="D417" s="8"/>
      <c r="E417" s="42"/>
      <c r="F417" s="42"/>
      <c r="G417" s="42"/>
      <c r="H417" s="42"/>
      <c r="I417" s="42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>
      <c r="A418" s="8"/>
      <c r="B418" s="8"/>
      <c r="C418" s="8"/>
      <c r="D418" s="8"/>
      <c r="E418" s="42"/>
      <c r="F418" s="42"/>
      <c r="G418" s="42"/>
      <c r="H418" s="42"/>
      <c r="I418" s="42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>
      <c r="A419" s="8"/>
      <c r="B419" s="8"/>
      <c r="C419" s="8"/>
      <c r="D419" s="8"/>
      <c r="E419" s="42"/>
      <c r="F419" s="42"/>
      <c r="G419" s="42"/>
      <c r="H419" s="42"/>
      <c r="I419" s="42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>
      <c r="A420" s="8"/>
      <c r="B420" s="8"/>
      <c r="C420" s="8"/>
      <c r="D420" s="8"/>
      <c r="E420" s="42"/>
      <c r="F420" s="42"/>
      <c r="G420" s="42"/>
      <c r="H420" s="42"/>
      <c r="I420" s="42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>
      <c r="A421" s="8"/>
      <c r="B421" s="8"/>
      <c r="C421" s="8"/>
      <c r="D421" s="8"/>
      <c r="E421" s="42"/>
      <c r="F421" s="42"/>
      <c r="G421" s="42"/>
      <c r="H421" s="42"/>
      <c r="I421" s="42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>
      <c r="A422" s="8"/>
      <c r="B422" s="8"/>
      <c r="C422" s="8"/>
      <c r="D422" s="8"/>
      <c r="E422" s="42"/>
      <c r="F422" s="42"/>
      <c r="G422" s="42"/>
      <c r="H422" s="42"/>
      <c r="I422" s="42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>
      <c r="A423" s="8"/>
      <c r="B423" s="8"/>
      <c r="C423" s="8"/>
      <c r="D423" s="8"/>
      <c r="E423" s="42"/>
      <c r="F423" s="42"/>
      <c r="G423" s="42"/>
      <c r="H423" s="42"/>
      <c r="I423" s="42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>
      <c r="A424" s="8"/>
      <c r="B424" s="8"/>
      <c r="C424" s="8"/>
      <c r="D424" s="8"/>
      <c r="E424" s="42"/>
      <c r="F424" s="42"/>
      <c r="G424" s="42"/>
      <c r="H424" s="42"/>
      <c r="I424" s="42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>
      <c r="A425" s="8"/>
      <c r="B425" s="8"/>
      <c r="C425" s="8"/>
      <c r="D425" s="8"/>
      <c r="E425" s="42"/>
      <c r="F425" s="42"/>
      <c r="G425" s="42"/>
      <c r="H425" s="42"/>
      <c r="I425" s="42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>
      <c r="A426" s="8"/>
      <c r="B426" s="8"/>
      <c r="C426" s="8"/>
      <c r="D426" s="8"/>
      <c r="E426" s="42"/>
      <c r="F426" s="42"/>
      <c r="G426" s="42"/>
      <c r="H426" s="42"/>
      <c r="I426" s="42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>
      <c r="A427" s="8"/>
      <c r="B427" s="8"/>
      <c r="C427" s="8"/>
      <c r="D427" s="8"/>
      <c r="E427" s="42"/>
      <c r="F427" s="42"/>
      <c r="G427" s="42"/>
      <c r="H427" s="42"/>
      <c r="I427" s="42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>
      <c r="A428" s="8"/>
      <c r="B428" s="8"/>
      <c r="C428" s="8"/>
      <c r="D428" s="8"/>
      <c r="E428" s="42"/>
      <c r="F428" s="42"/>
      <c r="G428" s="42"/>
      <c r="H428" s="42"/>
      <c r="I428" s="42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>
      <c r="A429" s="8"/>
      <c r="B429" s="8"/>
      <c r="C429" s="8"/>
      <c r="D429" s="8"/>
      <c r="E429" s="42"/>
      <c r="F429" s="42"/>
      <c r="G429" s="42"/>
      <c r="H429" s="42"/>
      <c r="I429" s="42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>
      <c r="A430" s="8"/>
      <c r="B430" s="8"/>
      <c r="C430" s="8"/>
      <c r="D430" s="8"/>
      <c r="E430" s="42"/>
      <c r="F430" s="42"/>
      <c r="G430" s="42"/>
      <c r="H430" s="42"/>
      <c r="I430" s="42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>
      <c r="A431" s="8"/>
      <c r="B431" s="8"/>
      <c r="C431" s="8"/>
      <c r="D431" s="8"/>
      <c r="E431" s="42"/>
      <c r="F431" s="42"/>
      <c r="G431" s="42"/>
      <c r="H431" s="42"/>
      <c r="I431" s="42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>
      <c r="A432" s="8"/>
      <c r="B432" s="8"/>
      <c r="C432" s="8"/>
      <c r="D432" s="8"/>
      <c r="E432" s="42"/>
      <c r="F432" s="42"/>
      <c r="G432" s="42"/>
      <c r="H432" s="42"/>
      <c r="I432" s="42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>
      <c r="A433" s="8"/>
      <c r="B433" s="8"/>
      <c r="C433" s="8"/>
      <c r="D433" s="8"/>
      <c r="E433" s="42"/>
      <c r="F433" s="42"/>
      <c r="G433" s="42"/>
      <c r="H433" s="42"/>
      <c r="I433" s="42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>
      <c r="A434" s="8"/>
      <c r="B434" s="8"/>
      <c r="C434" s="8"/>
      <c r="D434" s="8"/>
      <c r="E434" s="42"/>
      <c r="F434" s="42"/>
      <c r="G434" s="42"/>
      <c r="H434" s="42"/>
      <c r="I434" s="42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>
      <c r="A435" s="8"/>
      <c r="B435" s="8"/>
      <c r="C435" s="8"/>
      <c r="D435" s="8"/>
      <c r="E435" s="42"/>
      <c r="F435" s="42"/>
      <c r="G435" s="42"/>
      <c r="H435" s="42"/>
      <c r="I435" s="42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>
      <c r="A436" s="8"/>
      <c r="B436" s="8"/>
      <c r="C436" s="8"/>
      <c r="D436" s="8"/>
      <c r="E436" s="42"/>
      <c r="F436" s="42"/>
      <c r="G436" s="42"/>
      <c r="H436" s="42"/>
      <c r="I436" s="42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>
      <c r="A437" s="8"/>
      <c r="B437" s="8"/>
      <c r="C437" s="8"/>
      <c r="D437" s="8"/>
      <c r="E437" s="42"/>
      <c r="F437" s="42"/>
      <c r="G437" s="42"/>
      <c r="H437" s="42"/>
      <c r="I437" s="42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>
      <c r="A438" s="8"/>
      <c r="B438" s="8"/>
      <c r="C438" s="8"/>
      <c r="D438" s="8"/>
      <c r="E438" s="42"/>
      <c r="F438" s="42"/>
      <c r="G438" s="42"/>
      <c r="H438" s="42"/>
      <c r="I438" s="42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>
      <c r="A439" s="8"/>
      <c r="B439" s="8"/>
      <c r="C439" s="8"/>
      <c r="D439" s="8"/>
      <c r="E439" s="42"/>
      <c r="F439" s="42"/>
      <c r="G439" s="42"/>
      <c r="H439" s="42"/>
      <c r="I439" s="42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>
      <c r="A440" s="8"/>
      <c r="B440" s="8"/>
      <c r="C440" s="8"/>
      <c r="D440" s="8"/>
      <c r="E440" s="42"/>
      <c r="F440" s="42"/>
      <c r="G440" s="42"/>
      <c r="H440" s="42"/>
      <c r="I440" s="42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>
      <c r="A441" s="8"/>
      <c r="B441" s="8"/>
      <c r="C441" s="8"/>
      <c r="D441" s="8"/>
      <c r="E441" s="42"/>
      <c r="F441" s="42"/>
      <c r="G441" s="42"/>
      <c r="H441" s="42"/>
      <c r="I441" s="42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>
      <c r="A442" s="8"/>
      <c r="B442" s="8"/>
      <c r="C442" s="8"/>
      <c r="D442" s="8"/>
      <c r="E442" s="42"/>
      <c r="F442" s="42"/>
      <c r="G442" s="42"/>
      <c r="H442" s="42"/>
      <c r="I442" s="42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>
      <c r="A443" s="8"/>
      <c r="B443" s="8"/>
      <c r="C443" s="8"/>
      <c r="D443" s="8"/>
      <c r="E443" s="42"/>
      <c r="F443" s="42"/>
      <c r="G443" s="42"/>
      <c r="H443" s="42"/>
      <c r="I443" s="42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>
      <c r="A444" s="8"/>
      <c r="B444" s="8"/>
      <c r="C444" s="8"/>
      <c r="D444" s="8"/>
      <c r="E444" s="42"/>
      <c r="F444" s="42"/>
      <c r="G444" s="42"/>
      <c r="H444" s="42"/>
      <c r="I444" s="42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>
      <c r="A445" s="8"/>
      <c r="B445" s="8"/>
      <c r="C445" s="8"/>
      <c r="D445" s="8"/>
      <c r="E445" s="42"/>
      <c r="F445" s="42"/>
      <c r="G445" s="42"/>
      <c r="H445" s="42"/>
      <c r="I445" s="42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>
      <c r="A446" s="8"/>
      <c r="B446" s="8"/>
      <c r="C446" s="8"/>
      <c r="D446" s="8"/>
      <c r="E446" s="42"/>
      <c r="F446" s="42"/>
      <c r="G446" s="42"/>
      <c r="H446" s="42"/>
      <c r="I446" s="42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>
      <c r="A447" s="8"/>
      <c r="B447" s="8"/>
      <c r="C447" s="8"/>
      <c r="D447" s="8"/>
      <c r="E447" s="42"/>
      <c r="F447" s="42"/>
      <c r="G447" s="42"/>
      <c r="H447" s="42"/>
      <c r="I447" s="42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>
      <c r="A448" s="8"/>
      <c r="B448" s="8"/>
      <c r="C448" s="8"/>
      <c r="D448" s="8"/>
      <c r="E448" s="42"/>
      <c r="F448" s="42"/>
      <c r="G448" s="42"/>
      <c r="H448" s="42"/>
      <c r="I448" s="42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>
      <c r="A449" s="8"/>
      <c r="B449" s="8"/>
      <c r="C449" s="8"/>
      <c r="D449" s="8"/>
      <c r="E449" s="42"/>
      <c r="F449" s="42"/>
      <c r="G449" s="42"/>
      <c r="H449" s="42"/>
      <c r="I449" s="42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>
      <c r="A450" s="8"/>
      <c r="B450" s="8"/>
      <c r="C450" s="8"/>
      <c r="D450" s="8"/>
      <c r="E450" s="42"/>
      <c r="F450" s="42"/>
      <c r="G450" s="42"/>
      <c r="H450" s="42"/>
      <c r="I450" s="42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>
      <c r="A451" s="8"/>
      <c r="B451" s="8"/>
      <c r="C451" s="8"/>
      <c r="D451" s="8"/>
      <c r="E451" s="42"/>
      <c r="F451" s="42"/>
      <c r="G451" s="42"/>
      <c r="H451" s="42"/>
      <c r="I451" s="42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>
      <c r="A452" s="8"/>
      <c r="B452" s="8"/>
      <c r="C452" s="8"/>
      <c r="D452" s="8"/>
      <c r="E452" s="42"/>
      <c r="F452" s="42"/>
      <c r="G452" s="42"/>
      <c r="H452" s="42"/>
      <c r="I452" s="42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>
      <c r="A453" s="8"/>
      <c r="B453" s="8"/>
      <c r="C453" s="8"/>
      <c r="D453" s="8"/>
      <c r="E453" s="42"/>
      <c r="F453" s="42"/>
      <c r="G453" s="42"/>
      <c r="H453" s="42"/>
      <c r="I453" s="42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>
      <c r="A454" s="8"/>
      <c r="B454" s="8"/>
      <c r="C454" s="8"/>
      <c r="D454" s="8"/>
      <c r="E454" s="42"/>
      <c r="F454" s="42"/>
      <c r="G454" s="42"/>
      <c r="H454" s="42"/>
      <c r="I454" s="42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>
      <c r="A455" s="8"/>
      <c r="B455" s="8"/>
      <c r="C455" s="8"/>
      <c r="D455" s="8"/>
      <c r="E455" s="42"/>
      <c r="F455" s="42"/>
      <c r="G455" s="42"/>
      <c r="H455" s="42"/>
      <c r="I455" s="42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>
      <c r="A456" s="8"/>
      <c r="B456" s="8"/>
      <c r="C456" s="8"/>
      <c r="D456" s="8"/>
      <c r="E456" s="42"/>
      <c r="F456" s="42"/>
      <c r="G456" s="42"/>
      <c r="H456" s="42"/>
      <c r="I456" s="42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>
      <c r="A457" s="8"/>
      <c r="B457" s="8"/>
      <c r="C457" s="8"/>
      <c r="D457" s="8"/>
      <c r="E457" s="42"/>
      <c r="F457" s="42"/>
      <c r="G457" s="42"/>
      <c r="H457" s="42"/>
      <c r="I457" s="42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>
      <c r="A458" s="8"/>
      <c r="B458" s="8"/>
      <c r="C458" s="8"/>
      <c r="D458" s="8"/>
      <c r="E458" s="42"/>
      <c r="F458" s="42"/>
      <c r="G458" s="42"/>
      <c r="H458" s="42"/>
      <c r="I458" s="42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>
      <c r="A459" s="8"/>
      <c r="B459" s="8"/>
      <c r="C459" s="8"/>
      <c r="D459" s="8"/>
      <c r="E459" s="42"/>
      <c r="F459" s="42"/>
      <c r="G459" s="42"/>
      <c r="H459" s="42"/>
      <c r="I459" s="42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>
      <c r="A460" s="8"/>
      <c r="B460" s="8"/>
      <c r="C460" s="8"/>
      <c r="D460" s="8"/>
      <c r="E460" s="42"/>
      <c r="F460" s="42"/>
      <c r="G460" s="42"/>
      <c r="H460" s="42"/>
      <c r="I460" s="42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>
      <c r="A461" s="8"/>
      <c r="B461" s="8"/>
      <c r="C461" s="8"/>
      <c r="D461" s="8"/>
      <c r="E461" s="42"/>
      <c r="F461" s="42"/>
      <c r="G461" s="42"/>
      <c r="H461" s="42"/>
      <c r="I461" s="42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>
      <c r="A462" s="8"/>
      <c r="B462" s="8"/>
      <c r="C462" s="8"/>
      <c r="D462" s="8"/>
      <c r="E462" s="42"/>
      <c r="F462" s="42"/>
      <c r="G462" s="42"/>
      <c r="H462" s="42"/>
      <c r="I462" s="42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>
      <c r="A463" s="8"/>
      <c r="B463" s="8"/>
      <c r="C463" s="8"/>
      <c r="D463" s="8"/>
      <c r="E463" s="42"/>
      <c r="F463" s="42"/>
      <c r="G463" s="42"/>
      <c r="H463" s="42"/>
      <c r="I463" s="42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>
      <c r="A464" s="8"/>
      <c r="B464" s="8"/>
      <c r="C464" s="8"/>
      <c r="D464" s="8"/>
      <c r="E464" s="42"/>
      <c r="F464" s="42"/>
      <c r="G464" s="42"/>
      <c r="H464" s="42"/>
      <c r="I464" s="42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>
      <c r="A465" s="8"/>
      <c r="B465" s="8"/>
      <c r="C465" s="8"/>
      <c r="D465" s="8"/>
      <c r="E465" s="42"/>
      <c r="F465" s="42"/>
      <c r="G465" s="42"/>
      <c r="H465" s="42"/>
      <c r="I465" s="42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>
      <c r="A466" s="8"/>
      <c r="B466" s="8"/>
      <c r="C466" s="8"/>
      <c r="D466" s="8"/>
      <c r="E466" s="42"/>
      <c r="F466" s="42"/>
      <c r="G466" s="42"/>
      <c r="H466" s="42"/>
      <c r="I466" s="42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>
      <c r="A467" s="8"/>
      <c r="B467" s="8"/>
      <c r="C467" s="8"/>
      <c r="D467" s="8"/>
      <c r="E467" s="42"/>
      <c r="F467" s="42"/>
      <c r="G467" s="42"/>
      <c r="H467" s="42"/>
      <c r="I467" s="42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>
      <c r="A468" s="8"/>
      <c r="B468" s="8"/>
      <c r="C468" s="8"/>
      <c r="D468" s="8"/>
      <c r="E468" s="42"/>
      <c r="F468" s="42"/>
      <c r="G468" s="42"/>
      <c r="H468" s="42"/>
      <c r="I468" s="42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>
      <c r="A469" s="8"/>
      <c r="B469" s="8"/>
      <c r="C469" s="8"/>
      <c r="D469" s="8"/>
      <c r="E469" s="42"/>
      <c r="F469" s="42"/>
      <c r="G469" s="42"/>
      <c r="H469" s="42"/>
      <c r="I469" s="42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>
      <c r="A470" s="8"/>
      <c r="B470" s="8"/>
      <c r="C470" s="8"/>
      <c r="D470" s="8"/>
      <c r="E470" s="42"/>
      <c r="F470" s="42"/>
      <c r="G470" s="42"/>
      <c r="H470" s="42"/>
      <c r="I470" s="42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>
      <c r="A471" s="8"/>
      <c r="B471" s="8"/>
      <c r="C471" s="8"/>
      <c r="D471" s="8"/>
      <c r="E471" s="42"/>
      <c r="F471" s="42"/>
      <c r="G471" s="42"/>
      <c r="H471" s="42"/>
      <c r="I471" s="42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>
      <c r="A472" s="8"/>
      <c r="B472" s="8"/>
      <c r="C472" s="8"/>
      <c r="D472" s="8"/>
      <c r="E472" s="42"/>
      <c r="F472" s="42"/>
      <c r="G472" s="42"/>
      <c r="H472" s="42"/>
      <c r="I472" s="42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>
      <c r="A473" s="8"/>
      <c r="B473" s="8"/>
      <c r="C473" s="8"/>
      <c r="D473" s="8"/>
      <c r="E473" s="42"/>
      <c r="F473" s="42"/>
      <c r="G473" s="42"/>
      <c r="H473" s="42"/>
      <c r="I473" s="42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>
      <c r="A474" s="8"/>
      <c r="B474" s="8"/>
      <c r="C474" s="8"/>
      <c r="D474" s="8"/>
      <c r="E474" s="42"/>
      <c r="F474" s="42"/>
      <c r="G474" s="42"/>
      <c r="H474" s="42"/>
      <c r="I474" s="42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>
      <c r="A475" s="8"/>
      <c r="B475" s="8"/>
      <c r="C475" s="8"/>
      <c r="D475" s="8"/>
      <c r="E475" s="42"/>
      <c r="F475" s="42"/>
      <c r="G475" s="42"/>
      <c r="H475" s="42"/>
      <c r="I475" s="42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>
      <c r="A476" s="8"/>
      <c r="B476" s="8"/>
      <c r="C476" s="8"/>
      <c r="D476" s="8"/>
      <c r="E476" s="42"/>
      <c r="F476" s="42"/>
      <c r="G476" s="42"/>
      <c r="H476" s="42"/>
      <c r="I476" s="42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>
      <c r="A477" s="8"/>
      <c r="B477" s="8"/>
      <c r="C477" s="8"/>
      <c r="D477" s="8"/>
      <c r="E477" s="42"/>
      <c r="F477" s="42"/>
      <c r="G477" s="42"/>
      <c r="H477" s="42"/>
      <c r="I477" s="42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>
      <c r="A478" s="8"/>
      <c r="B478" s="8"/>
      <c r="C478" s="8"/>
      <c r="D478" s="8"/>
      <c r="E478" s="42"/>
      <c r="F478" s="42"/>
      <c r="G478" s="42"/>
      <c r="H478" s="42"/>
      <c r="I478" s="42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>
      <c r="A479" s="8"/>
      <c r="B479" s="8"/>
      <c r="C479" s="8"/>
      <c r="D479" s="8"/>
      <c r="E479" s="42"/>
      <c r="F479" s="42"/>
      <c r="G479" s="42"/>
      <c r="H479" s="42"/>
      <c r="I479" s="42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>
      <c r="A480" s="8"/>
      <c r="B480" s="8"/>
      <c r="C480" s="8"/>
      <c r="D480" s="8"/>
      <c r="E480" s="42"/>
      <c r="F480" s="42"/>
      <c r="G480" s="42"/>
      <c r="H480" s="42"/>
      <c r="I480" s="42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>
      <c r="A481" s="8"/>
      <c r="B481" s="8"/>
      <c r="C481" s="8"/>
      <c r="D481" s="8"/>
      <c r="E481" s="42"/>
      <c r="F481" s="42"/>
      <c r="G481" s="42"/>
      <c r="H481" s="42"/>
      <c r="I481" s="42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>
      <c r="A482" s="8"/>
      <c r="B482" s="8"/>
      <c r="C482" s="8"/>
      <c r="D482" s="8"/>
      <c r="E482" s="42"/>
      <c r="F482" s="42"/>
      <c r="G482" s="42"/>
      <c r="H482" s="42"/>
      <c r="I482" s="42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>
      <c r="A483" s="8"/>
      <c r="B483" s="8"/>
      <c r="C483" s="8"/>
      <c r="D483" s="8"/>
      <c r="E483" s="42"/>
      <c r="F483" s="42"/>
      <c r="G483" s="42"/>
      <c r="H483" s="42"/>
      <c r="I483" s="42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>
      <c r="A484" s="8"/>
      <c r="B484" s="8"/>
      <c r="C484" s="8"/>
      <c r="D484" s="8"/>
      <c r="E484" s="42"/>
      <c r="F484" s="42"/>
      <c r="G484" s="42"/>
      <c r="H484" s="42"/>
      <c r="I484" s="42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>
      <c r="A485" s="8"/>
      <c r="B485" s="8"/>
      <c r="C485" s="8"/>
      <c r="D485" s="8"/>
      <c r="E485" s="42"/>
      <c r="F485" s="42"/>
      <c r="G485" s="42"/>
      <c r="H485" s="42"/>
      <c r="I485" s="42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>
      <c r="A486" s="8"/>
      <c r="B486" s="8"/>
      <c r="C486" s="8"/>
      <c r="D486" s="8"/>
      <c r="E486" s="42"/>
      <c r="F486" s="42"/>
      <c r="G486" s="42"/>
      <c r="H486" s="42"/>
      <c r="I486" s="42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>
      <c r="A487" s="8"/>
      <c r="B487" s="8"/>
      <c r="C487" s="8"/>
      <c r="D487" s="8"/>
      <c r="E487" s="42"/>
      <c r="F487" s="42"/>
      <c r="G487" s="42"/>
      <c r="H487" s="42"/>
      <c r="I487" s="42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>
      <c r="A488" s="8"/>
      <c r="B488" s="8"/>
      <c r="C488" s="8"/>
      <c r="D488" s="8"/>
      <c r="E488" s="42"/>
      <c r="F488" s="42"/>
      <c r="G488" s="42"/>
      <c r="H488" s="42"/>
      <c r="I488" s="42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>
      <c r="A489" s="8"/>
      <c r="B489" s="8"/>
      <c r="C489" s="8"/>
      <c r="D489" s="8"/>
      <c r="E489" s="42"/>
      <c r="F489" s="42"/>
      <c r="G489" s="42"/>
      <c r="H489" s="42"/>
      <c r="I489" s="42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>
      <c r="A490" s="8"/>
      <c r="B490" s="8"/>
      <c r="C490" s="8"/>
      <c r="D490" s="8"/>
      <c r="E490" s="42"/>
      <c r="F490" s="42"/>
      <c r="G490" s="42"/>
      <c r="H490" s="42"/>
      <c r="I490" s="42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>
      <c r="A491" s="8"/>
      <c r="B491" s="8"/>
      <c r="C491" s="8"/>
      <c r="D491" s="8"/>
      <c r="E491" s="42"/>
      <c r="F491" s="42"/>
      <c r="G491" s="42"/>
      <c r="H491" s="42"/>
      <c r="I491" s="42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>
      <c r="A492" s="8"/>
      <c r="B492" s="8"/>
      <c r="C492" s="8"/>
      <c r="D492" s="8"/>
      <c r="E492" s="42"/>
      <c r="F492" s="42"/>
      <c r="G492" s="42"/>
      <c r="H492" s="42"/>
      <c r="I492" s="42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>
      <c r="A493" s="8"/>
      <c r="B493" s="8"/>
      <c r="C493" s="8"/>
      <c r="D493" s="8"/>
      <c r="E493" s="42"/>
      <c r="F493" s="42"/>
      <c r="G493" s="42"/>
      <c r="H493" s="42"/>
      <c r="I493" s="42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>
      <c r="A494" s="8"/>
      <c r="B494" s="8"/>
      <c r="C494" s="8"/>
      <c r="D494" s="8"/>
      <c r="E494" s="42"/>
      <c r="F494" s="42"/>
      <c r="G494" s="42"/>
      <c r="H494" s="42"/>
      <c r="I494" s="42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>
      <c r="A495" s="8"/>
      <c r="B495" s="8"/>
      <c r="C495" s="8"/>
      <c r="D495" s="8"/>
      <c r="E495" s="42"/>
      <c r="F495" s="42"/>
      <c r="G495" s="42"/>
      <c r="H495" s="42"/>
      <c r="I495" s="42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>
      <c r="A496" s="8"/>
      <c r="B496" s="8"/>
      <c r="C496" s="8"/>
      <c r="D496" s="8"/>
      <c r="E496" s="42"/>
      <c r="F496" s="42"/>
      <c r="G496" s="42"/>
      <c r="H496" s="42"/>
      <c r="I496" s="42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>
      <c r="A497" s="8"/>
      <c r="B497" s="8"/>
      <c r="C497" s="8"/>
      <c r="D497" s="8"/>
      <c r="E497" s="42"/>
      <c r="F497" s="42"/>
      <c r="G497" s="42"/>
      <c r="H497" s="42"/>
      <c r="I497" s="42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>
      <c r="A498" s="8"/>
      <c r="B498" s="8"/>
      <c r="C498" s="8"/>
      <c r="D498" s="8"/>
      <c r="E498" s="42"/>
      <c r="F498" s="42"/>
      <c r="G498" s="42"/>
      <c r="H498" s="42"/>
      <c r="I498" s="42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>
      <c r="A499" s="8"/>
      <c r="B499" s="8"/>
      <c r="C499" s="8"/>
      <c r="D499" s="8"/>
      <c r="E499" s="42"/>
      <c r="F499" s="42"/>
      <c r="G499" s="42"/>
      <c r="H499" s="42"/>
      <c r="I499" s="42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>
      <c r="A500" s="8"/>
      <c r="B500" s="8"/>
      <c r="C500" s="8"/>
      <c r="D500" s="8"/>
      <c r="E500" s="42"/>
      <c r="F500" s="42"/>
      <c r="G500" s="42"/>
      <c r="H500" s="42"/>
      <c r="I500" s="42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>
      <c r="A501" s="8"/>
      <c r="B501" s="8"/>
      <c r="C501" s="8"/>
      <c r="D501" s="8"/>
      <c r="E501" s="42"/>
      <c r="F501" s="42"/>
      <c r="G501" s="42"/>
      <c r="H501" s="42"/>
      <c r="I501" s="42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>
      <c r="A502" s="8"/>
      <c r="B502" s="8"/>
      <c r="C502" s="8"/>
      <c r="D502" s="8"/>
      <c r="E502" s="42"/>
      <c r="F502" s="42"/>
      <c r="G502" s="42"/>
      <c r="H502" s="42"/>
      <c r="I502" s="42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>
      <c r="A503" s="8"/>
      <c r="B503" s="8"/>
      <c r="C503" s="8"/>
      <c r="D503" s="8"/>
      <c r="E503" s="42"/>
      <c r="F503" s="42"/>
      <c r="G503" s="42"/>
      <c r="H503" s="42"/>
      <c r="I503" s="42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>
      <c r="A504" s="8"/>
      <c r="B504" s="8"/>
      <c r="C504" s="8"/>
      <c r="D504" s="8"/>
      <c r="E504" s="42"/>
      <c r="F504" s="42"/>
      <c r="G504" s="42"/>
      <c r="H504" s="42"/>
      <c r="I504" s="42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>
      <c r="A505" s="8"/>
      <c r="B505" s="8"/>
      <c r="C505" s="8"/>
      <c r="D505" s="8"/>
      <c r="E505" s="42"/>
      <c r="F505" s="42"/>
      <c r="G505" s="42"/>
      <c r="H505" s="42"/>
      <c r="I505" s="42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>
      <c r="A506" s="8"/>
      <c r="B506" s="8"/>
      <c r="C506" s="8"/>
      <c r="D506" s="8"/>
      <c r="E506" s="42"/>
      <c r="F506" s="42"/>
      <c r="G506" s="42"/>
      <c r="H506" s="42"/>
      <c r="I506" s="42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>
      <c r="A507" s="8"/>
      <c r="B507" s="8"/>
      <c r="C507" s="8"/>
      <c r="D507" s="8"/>
      <c r="E507" s="42"/>
      <c r="F507" s="42"/>
      <c r="G507" s="42"/>
      <c r="H507" s="42"/>
      <c r="I507" s="42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>
      <c r="A508" s="8"/>
      <c r="B508" s="8"/>
      <c r="C508" s="8"/>
      <c r="D508" s="8"/>
      <c r="E508" s="42"/>
      <c r="F508" s="42"/>
      <c r="G508" s="42"/>
      <c r="H508" s="42"/>
      <c r="I508" s="42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>
      <c r="A509" s="8"/>
      <c r="B509" s="8"/>
      <c r="C509" s="8"/>
      <c r="D509" s="8"/>
      <c r="E509" s="42"/>
      <c r="F509" s="42"/>
      <c r="G509" s="42"/>
      <c r="H509" s="42"/>
      <c r="I509" s="42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>
      <c r="A510" s="8"/>
      <c r="B510" s="8"/>
      <c r="C510" s="8"/>
      <c r="D510" s="8"/>
      <c r="E510" s="42"/>
      <c r="F510" s="42"/>
      <c r="G510" s="42"/>
      <c r="H510" s="42"/>
      <c r="I510" s="42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>
      <c r="A511" s="8"/>
      <c r="B511" s="8"/>
      <c r="C511" s="8"/>
      <c r="D511" s="8"/>
      <c r="E511" s="42"/>
      <c r="F511" s="42"/>
      <c r="G511" s="42"/>
      <c r="H511" s="42"/>
      <c r="I511" s="42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>
      <c r="A512" s="8"/>
      <c r="B512" s="8"/>
      <c r="C512" s="8"/>
      <c r="D512" s="8"/>
      <c r="E512" s="42"/>
      <c r="F512" s="42"/>
      <c r="G512" s="42"/>
      <c r="H512" s="42"/>
      <c r="I512" s="42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>
      <c r="A513" s="8"/>
      <c r="B513" s="8"/>
      <c r="C513" s="8"/>
      <c r="D513" s="8"/>
      <c r="E513" s="42"/>
      <c r="F513" s="42"/>
      <c r="G513" s="42"/>
      <c r="H513" s="42"/>
      <c r="I513" s="42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>
      <c r="A514" s="8"/>
      <c r="B514" s="8"/>
      <c r="C514" s="8"/>
      <c r="D514" s="8"/>
      <c r="E514" s="42"/>
      <c r="F514" s="42"/>
      <c r="G514" s="42"/>
      <c r="H514" s="42"/>
      <c r="I514" s="42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>
      <c r="A515" s="8"/>
      <c r="B515" s="8"/>
      <c r="C515" s="8"/>
      <c r="D515" s="8"/>
      <c r="E515" s="42"/>
      <c r="F515" s="42"/>
      <c r="G515" s="42"/>
      <c r="H515" s="42"/>
      <c r="I515" s="42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>
      <c r="A516" s="8"/>
      <c r="B516" s="8"/>
      <c r="C516" s="8"/>
      <c r="D516" s="8"/>
      <c r="E516" s="42"/>
      <c r="F516" s="42"/>
      <c r="G516" s="42"/>
      <c r="H516" s="42"/>
      <c r="I516" s="42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>
      <c r="A517" s="8"/>
      <c r="B517" s="8"/>
      <c r="C517" s="8"/>
      <c r="D517" s="8"/>
      <c r="E517" s="42"/>
      <c r="F517" s="42"/>
      <c r="G517" s="42"/>
      <c r="H517" s="42"/>
      <c r="I517" s="42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>
      <c r="A518" s="8"/>
      <c r="B518" s="8"/>
      <c r="C518" s="8"/>
      <c r="D518" s="8"/>
      <c r="E518" s="42"/>
      <c r="F518" s="42"/>
      <c r="G518" s="42"/>
      <c r="H518" s="42"/>
      <c r="I518" s="42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>
      <c r="A519" s="8"/>
      <c r="B519" s="8"/>
      <c r="C519" s="8"/>
      <c r="D519" s="8"/>
      <c r="E519" s="42"/>
      <c r="F519" s="42"/>
      <c r="G519" s="42"/>
      <c r="H519" s="42"/>
      <c r="I519" s="42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>
      <c r="A520" s="8"/>
      <c r="B520" s="8"/>
      <c r="C520" s="8"/>
      <c r="D520" s="8"/>
      <c r="E520" s="42"/>
      <c r="F520" s="42"/>
      <c r="G520" s="42"/>
      <c r="H520" s="42"/>
      <c r="I520" s="42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>
      <c r="A521" s="8"/>
      <c r="B521" s="8"/>
      <c r="C521" s="8"/>
      <c r="D521" s="8"/>
      <c r="E521" s="42"/>
      <c r="F521" s="42"/>
      <c r="G521" s="42"/>
      <c r="H521" s="42"/>
      <c r="I521" s="42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>
      <c r="A522" s="8"/>
      <c r="B522" s="8"/>
      <c r="C522" s="8"/>
      <c r="D522" s="8"/>
      <c r="E522" s="42"/>
      <c r="F522" s="42"/>
      <c r="G522" s="42"/>
      <c r="H522" s="42"/>
      <c r="I522" s="42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>
      <c r="A523" s="8"/>
      <c r="B523" s="8"/>
      <c r="C523" s="8"/>
      <c r="D523" s="8"/>
      <c r="E523" s="42"/>
      <c r="F523" s="42"/>
      <c r="G523" s="42"/>
      <c r="H523" s="42"/>
      <c r="I523" s="42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>
      <c r="A524" s="8"/>
      <c r="B524" s="8"/>
      <c r="C524" s="8"/>
      <c r="D524" s="8"/>
      <c r="E524" s="42"/>
      <c r="F524" s="42"/>
      <c r="G524" s="42"/>
      <c r="H524" s="42"/>
      <c r="I524" s="42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>
      <c r="A525" s="8"/>
      <c r="B525" s="8"/>
      <c r="C525" s="8"/>
      <c r="D525" s="8"/>
      <c r="E525" s="42"/>
      <c r="F525" s="42"/>
      <c r="G525" s="42"/>
      <c r="H525" s="42"/>
      <c r="I525" s="42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>
      <c r="A526" s="8"/>
      <c r="B526" s="8"/>
      <c r="C526" s="8"/>
      <c r="D526" s="8"/>
      <c r="E526" s="42"/>
      <c r="F526" s="42"/>
      <c r="G526" s="42"/>
      <c r="H526" s="42"/>
      <c r="I526" s="42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>
      <c r="A527" s="8"/>
      <c r="B527" s="8"/>
      <c r="C527" s="8"/>
      <c r="D527" s="8"/>
      <c r="E527" s="42"/>
      <c r="F527" s="42"/>
      <c r="G527" s="42"/>
      <c r="H527" s="42"/>
      <c r="I527" s="42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>
      <c r="A528" s="8"/>
      <c r="B528" s="8"/>
      <c r="C528" s="8"/>
      <c r="D528" s="8"/>
      <c r="E528" s="42"/>
      <c r="F528" s="42"/>
      <c r="G528" s="42"/>
      <c r="H528" s="42"/>
      <c r="I528" s="42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>
      <c r="A529" s="8"/>
      <c r="B529" s="8"/>
      <c r="C529" s="8"/>
      <c r="D529" s="8"/>
      <c r="E529" s="42"/>
      <c r="F529" s="42"/>
      <c r="G529" s="42"/>
      <c r="H529" s="42"/>
      <c r="I529" s="42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>
      <c r="A530" s="8"/>
      <c r="B530" s="8"/>
      <c r="C530" s="8"/>
      <c r="D530" s="8"/>
      <c r="E530" s="42"/>
      <c r="F530" s="42"/>
      <c r="G530" s="42"/>
      <c r="H530" s="42"/>
      <c r="I530" s="42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>
      <c r="A531" s="8"/>
      <c r="B531" s="8"/>
      <c r="C531" s="8"/>
      <c r="D531" s="8"/>
      <c r="E531" s="42"/>
      <c r="F531" s="42"/>
      <c r="G531" s="42"/>
      <c r="H531" s="42"/>
      <c r="I531" s="42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>
      <c r="A532" s="8"/>
      <c r="B532" s="8"/>
      <c r="C532" s="8"/>
      <c r="D532" s="8"/>
      <c r="E532" s="42"/>
      <c r="F532" s="42"/>
      <c r="G532" s="42"/>
      <c r="H532" s="42"/>
      <c r="I532" s="42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>
      <c r="A533" s="8"/>
      <c r="B533" s="8"/>
      <c r="C533" s="8"/>
      <c r="D533" s="8"/>
      <c r="E533" s="42"/>
      <c r="F533" s="42"/>
      <c r="G533" s="42"/>
      <c r="H533" s="42"/>
      <c r="I533" s="42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>
      <c r="A534" s="8"/>
      <c r="B534" s="8"/>
      <c r="C534" s="8"/>
      <c r="D534" s="8"/>
      <c r="E534" s="42"/>
      <c r="F534" s="42"/>
      <c r="G534" s="42"/>
      <c r="H534" s="42"/>
      <c r="I534" s="42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>
      <c r="A535" s="8"/>
      <c r="B535" s="8"/>
      <c r="C535" s="8"/>
      <c r="D535" s="8"/>
      <c r="E535" s="42"/>
      <c r="F535" s="42"/>
      <c r="G535" s="42"/>
      <c r="H535" s="42"/>
      <c r="I535" s="42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>
      <c r="A536" s="8"/>
      <c r="B536" s="8"/>
      <c r="C536" s="8"/>
      <c r="D536" s="8"/>
      <c r="E536" s="42"/>
      <c r="F536" s="42"/>
      <c r="G536" s="42"/>
      <c r="H536" s="42"/>
      <c r="I536" s="42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>
      <c r="A537" s="8"/>
      <c r="B537" s="8"/>
      <c r="C537" s="8"/>
      <c r="D537" s="8"/>
      <c r="E537" s="42"/>
      <c r="F537" s="42"/>
      <c r="G537" s="42"/>
      <c r="H537" s="42"/>
      <c r="I537" s="42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>
      <c r="A538" s="8"/>
      <c r="B538" s="8"/>
      <c r="C538" s="8"/>
      <c r="D538" s="8"/>
      <c r="E538" s="42"/>
      <c r="F538" s="42"/>
      <c r="G538" s="42"/>
      <c r="H538" s="42"/>
      <c r="I538" s="42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>
      <c r="A539" s="8"/>
      <c r="B539" s="8"/>
      <c r="C539" s="8"/>
      <c r="D539" s="8"/>
      <c r="E539" s="42"/>
      <c r="F539" s="42"/>
      <c r="G539" s="42"/>
      <c r="H539" s="42"/>
      <c r="I539" s="42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>
      <c r="A540" s="8"/>
      <c r="B540" s="8"/>
      <c r="C540" s="8"/>
      <c r="D540" s="8"/>
      <c r="E540" s="42"/>
      <c r="F540" s="42"/>
      <c r="G540" s="42"/>
      <c r="H540" s="42"/>
      <c r="I540" s="42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>
      <c r="A541" s="8"/>
      <c r="B541" s="8"/>
      <c r="C541" s="8"/>
      <c r="D541" s="8"/>
      <c r="E541" s="42"/>
      <c r="F541" s="42"/>
      <c r="G541" s="42"/>
      <c r="H541" s="42"/>
      <c r="I541" s="42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>
      <c r="A542" s="8"/>
      <c r="B542" s="8"/>
      <c r="C542" s="8"/>
      <c r="D542" s="8"/>
      <c r="E542" s="42"/>
      <c r="F542" s="42"/>
      <c r="G542" s="42"/>
      <c r="H542" s="42"/>
      <c r="I542" s="42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>
      <c r="A543" s="8"/>
      <c r="B543" s="8"/>
      <c r="C543" s="8"/>
      <c r="D543" s="8"/>
      <c r="E543" s="42"/>
      <c r="F543" s="42"/>
      <c r="G543" s="42"/>
      <c r="H543" s="42"/>
      <c r="I543" s="42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>
      <c r="A544" s="8"/>
      <c r="B544" s="8"/>
      <c r="C544" s="8"/>
      <c r="D544" s="8"/>
      <c r="E544" s="42"/>
      <c r="F544" s="42"/>
      <c r="G544" s="42"/>
      <c r="H544" s="42"/>
      <c r="I544" s="42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>
      <c r="A545" s="8"/>
      <c r="B545" s="8"/>
      <c r="C545" s="8"/>
      <c r="D545" s="8"/>
      <c r="E545" s="42"/>
      <c r="F545" s="42"/>
      <c r="G545" s="42"/>
      <c r="H545" s="42"/>
      <c r="I545" s="42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>
      <c r="A546" s="8"/>
      <c r="B546" s="8"/>
      <c r="C546" s="8"/>
      <c r="D546" s="8"/>
      <c r="E546" s="42"/>
      <c r="F546" s="42"/>
      <c r="G546" s="42"/>
      <c r="H546" s="42"/>
      <c r="I546" s="42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>
      <c r="A547" s="8"/>
      <c r="B547" s="8"/>
      <c r="C547" s="8"/>
      <c r="D547" s="8"/>
      <c r="E547" s="42"/>
      <c r="F547" s="42"/>
      <c r="G547" s="42"/>
      <c r="H547" s="42"/>
      <c r="I547" s="42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>
      <c r="A548" s="8"/>
      <c r="B548" s="8"/>
      <c r="C548" s="8"/>
      <c r="D548" s="8"/>
      <c r="E548" s="42"/>
      <c r="F548" s="42"/>
      <c r="G548" s="42"/>
      <c r="H548" s="42"/>
      <c r="I548" s="42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>
      <c r="A549" s="8"/>
      <c r="B549" s="8"/>
      <c r="C549" s="8"/>
      <c r="D549" s="8"/>
      <c r="E549" s="42"/>
      <c r="F549" s="42"/>
      <c r="G549" s="42"/>
      <c r="H549" s="42"/>
      <c r="I549" s="42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>
      <c r="A550" s="8"/>
      <c r="B550" s="8"/>
      <c r="C550" s="8"/>
      <c r="D550" s="8"/>
      <c r="E550" s="42"/>
      <c r="F550" s="42"/>
      <c r="G550" s="42"/>
      <c r="H550" s="42"/>
      <c r="I550" s="42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>
      <c r="A551" s="8"/>
      <c r="B551" s="8"/>
      <c r="C551" s="8"/>
      <c r="D551" s="8"/>
      <c r="E551" s="42"/>
      <c r="F551" s="42"/>
      <c r="G551" s="42"/>
      <c r="H551" s="42"/>
      <c r="I551" s="42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>
      <c r="A552" s="8"/>
      <c r="B552" s="8"/>
      <c r="C552" s="8"/>
      <c r="D552" s="8"/>
      <c r="E552" s="42"/>
      <c r="F552" s="42"/>
      <c r="G552" s="42"/>
      <c r="H552" s="42"/>
      <c r="I552" s="42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>
      <c r="A553" s="8"/>
      <c r="B553" s="8"/>
      <c r="C553" s="8"/>
      <c r="D553" s="8"/>
      <c r="E553" s="42"/>
      <c r="F553" s="42"/>
      <c r="G553" s="42"/>
      <c r="H553" s="42"/>
      <c r="I553" s="42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>
      <c r="A554" s="8"/>
      <c r="B554" s="8"/>
      <c r="C554" s="8"/>
      <c r="D554" s="8"/>
      <c r="E554" s="42"/>
      <c r="F554" s="42"/>
      <c r="G554" s="42"/>
      <c r="H554" s="42"/>
      <c r="I554" s="42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>
      <c r="A555" s="8"/>
      <c r="B555" s="8"/>
      <c r="C555" s="8"/>
      <c r="D555" s="8"/>
      <c r="E555" s="42"/>
      <c r="F555" s="42"/>
      <c r="G555" s="42"/>
      <c r="H555" s="42"/>
      <c r="I555" s="42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>
      <c r="A556" s="8"/>
      <c r="B556" s="8"/>
      <c r="C556" s="8"/>
      <c r="D556" s="8"/>
      <c r="E556" s="42"/>
      <c r="F556" s="42"/>
      <c r="G556" s="42"/>
      <c r="H556" s="42"/>
      <c r="I556" s="42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>
      <c r="A557" s="8"/>
      <c r="B557" s="8"/>
      <c r="C557" s="8"/>
      <c r="D557" s="8"/>
      <c r="E557" s="42"/>
      <c r="F557" s="42"/>
      <c r="G557" s="42"/>
      <c r="H557" s="42"/>
      <c r="I557" s="42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>
      <c r="A558" s="8"/>
      <c r="B558" s="8"/>
      <c r="C558" s="8"/>
      <c r="D558" s="8"/>
      <c r="E558" s="42"/>
      <c r="F558" s="42"/>
      <c r="G558" s="42"/>
      <c r="H558" s="42"/>
      <c r="I558" s="42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>
      <c r="A559" s="8"/>
      <c r="B559" s="8"/>
      <c r="C559" s="8"/>
      <c r="D559" s="8"/>
      <c r="E559" s="42"/>
      <c r="F559" s="42"/>
      <c r="G559" s="42"/>
      <c r="H559" s="42"/>
      <c r="I559" s="42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>
      <c r="A560" s="8"/>
      <c r="B560" s="8"/>
      <c r="C560" s="8"/>
      <c r="D560" s="8"/>
      <c r="E560" s="42"/>
      <c r="F560" s="42"/>
      <c r="G560" s="42"/>
      <c r="H560" s="42"/>
      <c r="I560" s="42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>
      <c r="A561" s="8"/>
      <c r="B561" s="8"/>
      <c r="C561" s="8"/>
      <c r="D561" s="8"/>
      <c r="E561" s="42"/>
      <c r="F561" s="42"/>
      <c r="G561" s="42"/>
      <c r="H561" s="42"/>
      <c r="I561" s="42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>
      <c r="A562" s="8"/>
      <c r="B562" s="8"/>
      <c r="C562" s="8"/>
      <c r="D562" s="8"/>
      <c r="E562" s="42"/>
      <c r="F562" s="42"/>
      <c r="G562" s="42"/>
      <c r="H562" s="42"/>
      <c r="I562" s="42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>
      <c r="A563" s="8"/>
      <c r="B563" s="8"/>
      <c r="C563" s="8"/>
      <c r="D563" s="8"/>
      <c r="E563" s="42"/>
      <c r="F563" s="42"/>
      <c r="G563" s="42"/>
      <c r="H563" s="42"/>
      <c r="I563" s="42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>
      <c r="A564" s="8"/>
      <c r="B564" s="8"/>
      <c r="C564" s="8"/>
      <c r="D564" s="8"/>
      <c r="E564" s="42"/>
      <c r="F564" s="42"/>
      <c r="G564" s="42"/>
      <c r="H564" s="42"/>
      <c r="I564" s="42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>
      <c r="A565" s="8"/>
      <c r="B565" s="8"/>
      <c r="C565" s="8"/>
      <c r="D565" s="8"/>
      <c r="E565" s="42"/>
      <c r="F565" s="42"/>
      <c r="G565" s="42"/>
      <c r="H565" s="42"/>
      <c r="I565" s="42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>
      <c r="A566" s="8"/>
      <c r="B566" s="8"/>
      <c r="C566" s="8"/>
      <c r="D566" s="8"/>
      <c r="E566" s="42"/>
      <c r="F566" s="42"/>
      <c r="G566" s="42"/>
      <c r="H566" s="42"/>
      <c r="I566" s="42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>
      <c r="A567" s="8"/>
      <c r="B567" s="8"/>
      <c r="C567" s="8"/>
      <c r="D567" s="8"/>
      <c r="E567" s="42"/>
      <c r="F567" s="42"/>
      <c r="G567" s="42"/>
      <c r="H567" s="42"/>
      <c r="I567" s="42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>
      <c r="A568" s="8"/>
      <c r="B568" s="8"/>
      <c r="C568" s="8"/>
      <c r="D568" s="8"/>
      <c r="E568" s="42"/>
      <c r="F568" s="42"/>
      <c r="G568" s="42"/>
      <c r="H568" s="42"/>
      <c r="I568" s="42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>
      <c r="A569" s="8"/>
      <c r="B569" s="8"/>
      <c r="C569" s="8"/>
      <c r="D569" s="8"/>
      <c r="E569" s="42"/>
      <c r="F569" s="42"/>
      <c r="G569" s="42"/>
      <c r="H569" s="42"/>
      <c r="I569" s="42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>
      <c r="A570" s="8"/>
      <c r="B570" s="8"/>
      <c r="C570" s="8"/>
      <c r="D570" s="8"/>
      <c r="E570" s="42"/>
      <c r="F570" s="42"/>
      <c r="G570" s="42"/>
      <c r="H570" s="42"/>
      <c r="I570" s="42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>
      <c r="A571" s="8"/>
      <c r="B571" s="8"/>
      <c r="C571" s="8"/>
      <c r="D571" s="8"/>
      <c r="E571" s="42"/>
      <c r="F571" s="42"/>
      <c r="G571" s="42"/>
      <c r="H571" s="42"/>
      <c r="I571" s="42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>
      <c r="A572" s="8"/>
      <c r="B572" s="8"/>
      <c r="C572" s="8"/>
      <c r="D572" s="8"/>
      <c r="E572" s="42"/>
      <c r="F572" s="42"/>
      <c r="G572" s="42"/>
      <c r="H572" s="42"/>
      <c r="I572" s="42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>
      <c r="A573" s="8"/>
      <c r="B573" s="8"/>
      <c r="C573" s="8"/>
      <c r="D573" s="8"/>
      <c r="E573" s="42"/>
      <c r="F573" s="42"/>
      <c r="G573" s="42"/>
      <c r="H573" s="42"/>
      <c r="I573" s="42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>
      <c r="A574" s="8"/>
      <c r="B574" s="8"/>
      <c r="C574" s="8"/>
      <c r="D574" s="8"/>
      <c r="E574" s="42"/>
      <c r="F574" s="42"/>
      <c r="G574" s="42"/>
      <c r="H574" s="42"/>
      <c r="I574" s="42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>
      <c r="A575" s="8"/>
      <c r="B575" s="8"/>
      <c r="C575" s="8"/>
      <c r="D575" s="8"/>
      <c r="E575" s="42"/>
      <c r="F575" s="42"/>
      <c r="G575" s="42"/>
      <c r="H575" s="42"/>
      <c r="I575" s="42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>
      <c r="A576" s="8"/>
      <c r="B576" s="8"/>
      <c r="C576" s="8"/>
      <c r="D576" s="8"/>
      <c r="E576" s="42"/>
      <c r="F576" s="42"/>
      <c r="G576" s="42"/>
      <c r="H576" s="42"/>
      <c r="I576" s="42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>
      <c r="A577" s="8"/>
      <c r="B577" s="8"/>
      <c r="C577" s="8"/>
      <c r="D577" s="8"/>
      <c r="E577" s="42"/>
      <c r="F577" s="42"/>
      <c r="G577" s="42"/>
      <c r="H577" s="42"/>
      <c r="I577" s="42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>
      <c r="A578" s="8"/>
      <c r="B578" s="8"/>
      <c r="C578" s="8"/>
      <c r="D578" s="8"/>
      <c r="E578" s="42"/>
      <c r="F578" s="42"/>
      <c r="G578" s="42"/>
      <c r="H578" s="42"/>
      <c r="I578" s="42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>
      <c r="A579" s="8"/>
      <c r="B579" s="8"/>
      <c r="C579" s="8"/>
      <c r="D579" s="8"/>
      <c r="E579" s="42"/>
      <c r="F579" s="42"/>
      <c r="G579" s="42"/>
      <c r="H579" s="42"/>
      <c r="I579" s="42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>
      <c r="A580" s="8"/>
      <c r="B580" s="8"/>
      <c r="C580" s="8"/>
      <c r="D580" s="8"/>
      <c r="E580" s="42"/>
      <c r="F580" s="42"/>
      <c r="G580" s="42"/>
      <c r="H580" s="42"/>
      <c r="I580" s="42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>
      <c r="A581" s="8"/>
      <c r="B581" s="8"/>
      <c r="C581" s="8"/>
      <c r="D581" s="8"/>
      <c r="E581" s="42"/>
      <c r="F581" s="42"/>
      <c r="G581" s="42"/>
      <c r="H581" s="42"/>
      <c r="I581" s="42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>
      <c r="A582" s="8"/>
      <c r="B582" s="8"/>
      <c r="C582" s="8"/>
      <c r="D582" s="8"/>
      <c r="E582" s="42"/>
      <c r="F582" s="42"/>
      <c r="G582" s="42"/>
      <c r="H582" s="42"/>
      <c r="I582" s="42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>
      <c r="A583" s="8"/>
      <c r="B583" s="8"/>
      <c r="C583" s="8"/>
      <c r="D583" s="8"/>
      <c r="E583" s="42"/>
      <c r="F583" s="42"/>
      <c r="G583" s="42"/>
      <c r="H583" s="42"/>
      <c r="I583" s="42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>
      <c r="A584" s="8"/>
      <c r="B584" s="8"/>
      <c r="C584" s="8"/>
      <c r="D584" s="8"/>
      <c r="E584" s="42"/>
      <c r="F584" s="42"/>
      <c r="G584" s="42"/>
      <c r="H584" s="42"/>
      <c r="I584" s="42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>
      <c r="A585" s="8"/>
      <c r="B585" s="8"/>
      <c r="C585" s="8"/>
      <c r="D585" s="8"/>
      <c r="E585" s="42"/>
      <c r="F585" s="42"/>
      <c r="G585" s="42"/>
      <c r="H585" s="42"/>
      <c r="I585" s="42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>
      <c r="A586" s="8"/>
      <c r="B586" s="8"/>
      <c r="C586" s="8"/>
      <c r="D586" s="8"/>
      <c r="E586" s="42"/>
      <c r="F586" s="42"/>
      <c r="G586" s="42"/>
      <c r="H586" s="42"/>
      <c r="I586" s="42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>
      <c r="A587" s="8"/>
      <c r="B587" s="8"/>
      <c r="C587" s="8"/>
      <c r="D587" s="8"/>
      <c r="E587" s="42"/>
      <c r="F587" s="42"/>
      <c r="G587" s="42"/>
      <c r="H587" s="42"/>
      <c r="I587" s="42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>
      <c r="A588" s="8"/>
      <c r="B588" s="8"/>
      <c r="C588" s="8"/>
      <c r="D588" s="8"/>
      <c r="E588" s="42"/>
      <c r="F588" s="42"/>
      <c r="G588" s="42"/>
      <c r="H588" s="42"/>
      <c r="I588" s="42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>
      <c r="A589" s="8"/>
      <c r="B589" s="8"/>
      <c r="C589" s="8"/>
      <c r="D589" s="8"/>
      <c r="E589" s="42"/>
      <c r="F589" s="42"/>
      <c r="G589" s="42"/>
      <c r="H589" s="42"/>
      <c r="I589" s="42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>
      <c r="A590" s="8"/>
      <c r="B590" s="8"/>
      <c r="C590" s="8"/>
      <c r="D590" s="8"/>
      <c r="E590" s="42"/>
      <c r="F590" s="42"/>
      <c r="G590" s="42"/>
      <c r="H590" s="42"/>
      <c r="I590" s="42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>
      <c r="A591" s="8"/>
      <c r="B591" s="8"/>
      <c r="C591" s="8"/>
      <c r="D591" s="8"/>
      <c r="E591" s="42"/>
      <c r="F591" s="42"/>
      <c r="G591" s="42"/>
      <c r="H591" s="42"/>
      <c r="I591" s="42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>
      <c r="A592" s="8"/>
      <c r="B592" s="8"/>
      <c r="C592" s="8"/>
      <c r="D592" s="8"/>
      <c r="E592" s="42"/>
      <c r="F592" s="42"/>
      <c r="G592" s="42"/>
      <c r="H592" s="42"/>
      <c r="I592" s="42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>
      <c r="A593" s="8"/>
      <c r="B593" s="8"/>
      <c r="C593" s="8"/>
      <c r="D593" s="8"/>
      <c r="E593" s="42"/>
      <c r="F593" s="42"/>
      <c r="G593" s="42"/>
      <c r="H593" s="42"/>
      <c r="I593" s="42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>
      <c r="A594" s="8"/>
      <c r="B594" s="8"/>
      <c r="C594" s="8"/>
      <c r="D594" s="8"/>
      <c r="E594" s="42"/>
      <c r="F594" s="42"/>
      <c r="G594" s="42"/>
      <c r="H594" s="42"/>
      <c r="I594" s="42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>
      <c r="A595" s="8"/>
      <c r="B595" s="8"/>
      <c r="C595" s="8"/>
      <c r="D595" s="8"/>
      <c r="E595" s="42"/>
      <c r="F595" s="42"/>
      <c r="G595" s="42"/>
      <c r="H595" s="42"/>
      <c r="I595" s="42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>
      <c r="A596" s="8"/>
      <c r="B596" s="8"/>
      <c r="C596" s="8"/>
      <c r="D596" s="8"/>
      <c r="E596" s="42"/>
      <c r="F596" s="42"/>
      <c r="G596" s="42"/>
      <c r="H596" s="42"/>
      <c r="I596" s="42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>
      <c r="A597" s="8"/>
      <c r="B597" s="8"/>
      <c r="C597" s="8"/>
      <c r="D597" s="8"/>
      <c r="E597" s="42"/>
      <c r="F597" s="42"/>
      <c r="G597" s="42"/>
      <c r="H597" s="42"/>
      <c r="I597" s="42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>
      <c r="A598" s="8"/>
      <c r="B598" s="8"/>
      <c r="C598" s="8"/>
      <c r="D598" s="8"/>
      <c r="E598" s="42"/>
      <c r="F598" s="42"/>
      <c r="G598" s="42"/>
      <c r="H598" s="42"/>
      <c r="I598" s="42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>
      <c r="A599" s="8"/>
      <c r="B599" s="8"/>
      <c r="C599" s="8"/>
      <c r="D599" s="8"/>
      <c r="E599" s="42"/>
      <c r="F599" s="42"/>
      <c r="G599" s="42"/>
      <c r="H599" s="42"/>
      <c r="I599" s="42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>
      <c r="A600" s="8"/>
      <c r="B600" s="8"/>
      <c r="C600" s="8"/>
      <c r="D600" s="8"/>
      <c r="E600" s="42"/>
      <c r="F600" s="42"/>
      <c r="G600" s="42"/>
      <c r="H600" s="42"/>
      <c r="I600" s="42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>
      <c r="A601" s="8"/>
      <c r="B601" s="8"/>
      <c r="C601" s="8"/>
      <c r="D601" s="8"/>
      <c r="E601" s="42"/>
      <c r="F601" s="42"/>
      <c r="G601" s="42"/>
      <c r="H601" s="42"/>
      <c r="I601" s="42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>
      <c r="A602" s="8"/>
      <c r="B602" s="8"/>
      <c r="C602" s="8"/>
      <c r="D602" s="8"/>
      <c r="E602" s="42"/>
      <c r="F602" s="42"/>
      <c r="G602" s="42"/>
      <c r="H602" s="42"/>
      <c r="I602" s="42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>
      <c r="A603" s="8"/>
      <c r="B603" s="8"/>
      <c r="C603" s="8"/>
      <c r="D603" s="8"/>
      <c r="E603" s="42"/>
      <c r="F603" s="42"/>
      <c r="G603" s="42"/>
      <c r="H603" s="42"/>
      <c r="I603" s="42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>
      <c r="A604" s="8"/>
      <c r="B604" s="8"/>
      <c r="C604" s="8"/>
      <c r="D604" s="8"/>
      <c r="E604" s="42"/>
      <c r="F604" s="42"/>
      <c r="G604" s="42"/>
      <c r="H604" s="42"/>
      <c r="I604" s="42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>
      <c r="A605" s="8"/>
      <c r="B605" s="8"/>
      <c r="C605" s="8"/>
      <c r="D605" s="8"/>
      <c r="E605" s="42"/>
      <c r="F605" s="42"/>
      <c r="G605" s="42"/>
      <c r="H605" s="42"/>
      <c r="I605" s="42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>
      <c r="A606" s="8"/>
      <c r="B606" s="8"/>
      <c r="C606" s="8"/>
      <c r="D606" s="8"/>
      <c r="E606" s="42"/>
      <c r="F606" s="42"/>
      <c r="G606" s="42"/>
      <c r="H606" s="42"/>
      <c r="I606" s="42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>
      <c r="A607" s="8"/>
      <c r="B607" s="8"/>
      <c r="C607" s="8"/>
      <c r="D607" s="8"/>
      <c r="E607" s="42"/>
      <c r="F607" s="42"/>
      <c r="G607" s="42"/>
      <c r="H607" s="42"/>
      <c r="I607" s="42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>
      <c r="A608" s="8"/>
      <c r="B608" s="8"/>
      <c r="C608" s="8"/>
      <c r="D608" s="8"/>
      <c r="E608" s="42"/>
      <c r="F608" s="42"/>
      <c r="G608" s="42"/>
      <c r="H608" s="42"/>
      <c r="I608" s="42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>
      <c r="A609" s="8"/>
      <c r="B609" s="8"/>
      <c r="C609" s="8"/>
      <c r="D609" s="8"/>
      <c r="E609" s="42"/>
      <c r="F609" s="42"/>
      <c r="G609" s="42"/>
      <c r="H609" s="42"/>
      <c r="I609" s="42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>
      <c r="A610" s="8"/>
      <c r="B610" s="8"/>
      <c r="C610" s="8"/>
      <c r="D610" s="8"/>
      <c r="E610" s="42"/>
      <c r="F610" s="42"/>
      <c r="G610" s="42"/>
      <c r="H610" s="42"/>
      <c r="I610" s="42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>
      <c r="A611" s="8"/>
      <c r="B611" s="8"/>
      <c r="C611" s="8"/>
      <c r="D611" s="8"/>
      <c r="E611" s="42"/>
      <c r="F611" s="42"/>
      <c r="G611" s="42"/>
      <c r="H611" s="42"/>
      <c r="I611" s="42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>
      <c r="A612" s="8"/>
      <c r="B612" s="8"/>
      <c r="C612" s="8"/>
      <c r="D612" s="8"/>
      <c r="E612" s="42"/>
      <c r="F612" s="42"/>
      <c r="G612" s="42"/>
      <c r="H612" s="42"/>
      <c r="I612" s="42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>
      <c r="A613" s="8"/>
      <c r="B613" s="8"/>
      <c r="C613" s="8"/>
      <c r="D613" s="8"/>
      <c r="E613" s="42"/>
      <c r="F613" s="42"/>
      <c r="G613" s="42"/>
      <c r="H613" s="42"/>
      <c r="I613" s="42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>
      <c r="A614" s="8"/>
      <c r="B614" s="8"/>
      <c r="C614" s="8"/>
      <c r="D614" s="8"/>
      <c r="E614" s="42"/>
      <c r="F614" s="42"/>
      <c r="G614" s="42"/>
      <c r="H614" s="42"/>
      <c r="I614" s="42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>
      <c r="A615" s="8"/>
      <c r="B615" s="8"/>
      <c r="C615" s="8"/>
      <c r="D615" s="8"/>
      <c r="E615" s="42"/>
      <c r="F615" s="42"/>
      <c r="G615" s="42"/>
      <c r="H615" s="42"/>
      <c r="I615" s="42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>
      <c r="A616" s="8"/>
      <c r="B616" s="8"/>
      <c r="C616" s="8"/>
      <c r="D616" s="8"/>
      <c r="E616" s="42"/>
      <c r="F616" s="42"/>
      <c r="G616" s="42"/>
      <c r="H616" s="42"/>
      <c r="I616" s="42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>
      <c r="A617" s="8"/>
      <c r="B617" s="8"/>
      <c r="C617" s="8"/>
      <c r="D617" s="8"/>
      <c r="E617" s="42"/>
      <c r="F617" s="42"/>
      <c r="G617" s="42"/>
      <c r="H617" s="42"/>
      <c r="I617" s="42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>
      <c r="A618" s="8"/>
      <c r="B618" s="8"/>
      <c r="C618" s="8"/>
      <c r="D618" s="8"/>
      <c r="E618" s="42"/>
      <c r="F618" s="42"/>
      <c r="G618" s="42"/>
      <c r="H618" s="42"/>
      <c r="I618" s="42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>
      <c r="A619" s="8"/>
      <c r="B619" s="8"/>
      <c r="C619" s="8"/>
      <c r="D619" s="8"/>
      <c r="E619" s="42"/>
      <c r="F619" s="42"/>
      <c r="G619" s="42"/>
      <c r="H619" s="42"/>
      <c r="I619" s="42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>
      <c r="A620" s="8"/>
      <c r="B620" s="8"/>
      <c r="C620" s="8"/>
      <c r="D620" s="8"/>
      <c r="E620" s="42"/>
      <c r="F620" s="42"/>
      <c r="G620" s="42"/>
      <c r="H620" s="42"/>
      <c r="I620" s="42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>
      <c r="A621" s="8"/>
      <c r="B621" s="8"/>
      <c r="C621" s="8"/>
      <c r="D621" s="8"/>
      <c r="E621" s="42"/>
      <c r="F621" s="42"/>
      <c r="G621" s="42"/>
      <c r="H621" s="42"/>
      <c r="I621" s="42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>
      <c r="A622" s="8"/>
      <c r="B622" s="8"/>
      <c r="C622" s="8"/>
      <c r="D622" s="8"/>
      <c r="E622" s="42"/>
      <c r="F622" s="42"/>
      <c r="G622" s="42"/>
      <c r="H622" s="42"/>
      <c r="I622" s="42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>
      <c r="A623" s="8"/>
      <c r="B623" s="8"/>
      <c r="C623" s="8"/>
      <c r="D623" s="8"/>
      <c r="E623" s="42"/>
      <c r="F623" s="42"/>
      <c r="G623" s="42"/>
      <c r="H623" s="42"/>
      <c r="I623" s="42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>
      <c r="A624" s="8"/>
      <c r="B624" s="8"/>
      <c r="C624" s="8"/>
      <c r="D624" s="8"/>
      <c r="E624" s="42"/>
      <c r="F624" s="42"/>
      <c r="G624" s="42"/>
      <c r="H624" s="42"/>
      <c r="I624" s="42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>
      <c r="A625" s="8"/>
      <c r="B625" s="8"/>
      <c r="C625" s="8"/>
      <c r="D625" s="8"/>
      <c r="E625" s="42"/>
      <c r="F625" s="42"/>
      <c r="G625" s="42"/>
      <c r="H625" s="42"/>
      <c r="I625" s="42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>
      <c r="A626" s="8"/>
      <c r="B626" s="8"/>
      <c r="C626" s="8"/>
      <c r="D626" s="8"/>
      <c r="E626" s="42"/>
      <c r="F626" s="42"/>
      <c r="G626" s="42"/>
      <c r="H626" s="42"/>
      <c r="I626" s="42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>
      <c r="A627" s="8"/>
      <c r="B627" s="8"/>
      <c r="C627" s="8"/>
      <c r="D627" s="8"/>
      <c r="E627" s="42"/>
      <c r="F627" s="42"/>
      <c r="G627" s="42"/>
      <c r="H627" s="42"/>
      <c r="I627" s="42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>
      <c r="A628" s="8"/>
      <c r="B628" s="8"/>
      <c r="C628" s="8"/>
      <c r="D628" s="8"/>
      <c r="E628" s="42"/>
      <c r="F628" s="42"/>
      <c r="G628" s="42"/>
      <c r="H628" s="42"/>
      <c r="I628" s="42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>
      <c r="A629" s="8"/>
      <c r="B629" s="8"/>
      <c r="C629" s="8"/>
      <c r="D629" s="8"/>
      <c r="E629" s="42"/>
      <c r="F629" s="42"/>
      <c r="G629" s="42"/>
      <c r="H629" s="42"/>
      <c r="I629" s="42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>
      <c r="A630" s="8"/>
      <c r="B630" s="8"/>
      <c r="C630" s="8"/>
      <c r="D630" s="8"/>
      <c r="E630" s="42"/>
      <c r="F630" s="42"/>
      <c r="G630" s="42"/>
      <c r="H630" s="42"/>
      <c r="I630" s="42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>
      <c r="A631" s="8"/>
      <c r="B631" s="8"/>
      <c r="C631" s="8"/>
      <c r="D631" s="8"/>
      <c r="E631" s="42"/>
      <c r="F631" s="42"/>
      <c r="G631" s="42"/>
      <c r="H631" s="42"/>
      <c r="I631" s="42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>
      <c r="A632" s="8"/>
      <c r="B632" s="8"/>
      <c r="C632" s="8"/>
      <c r="D632" s="8"/>
      <c r="E632" s="42"/>
      <c r="F632" s="42"/>
      <c r="G632" s="42"/>
      <c r="H632" s="42"/>
      <c r="I632" s="42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>
      <c r="A633" s="8"/>
      <c r="B633" s="8"/>
      <c r="C633" s="8"/>
      <c r="D633" s="8"/>
      <c r="E633" s="42"/>
      <c r="F633" s="42"/>
      <c r="G633" s="42"/>
      <c r="H633" s="42"/>
      <c r="I633" s="42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>
      <c r="A634" s="8"/>
      <c r="B634" s="8"/>
      <c r="C634" s="8"/>
      <c r="D634" s="8"/>
      <c r="E634" s="42"/>
      <c r="F634" s="42"/>
      <c r="G634" s="42"/>
      <c r="H634" s="42"/>
      <c r="I634" s="42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>
      <c r="A635" s="8"/>
      <c r="B635" s="8"/>
      <c r="C635" s="8"/>
      <c r="D635" s="8"/>
      <c r="E635" s="42"/>
      <c r="F635" s="42"/>
      <c r="G635" s="42"/>
      <c r="H635" s="42"/>
      <c r="I635" s="42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>
      <c r="A636" s="8"/>
      <c r="B636" s="8"/>
      <c r="C636" s="8"/>
      <c r="D636" s="8"/>
      <c r="E636" s="42"/>
      <c r="F636" s="42"/>
      <c r="G636" s="42"/>
      <c r="H636" s="42"/>
      <c r="I636" s="42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>
      <c r="A637" s="8"/>
      <c r="B637" s="8"/>
      <c r="C637" s="8"/>
      <c r="D637" s="8"/>
      <c r="E637" s="42"/>
      <c r="F637" s="42"/>
      <c r="G637" s="42"/>
      <c r="H637" s="42"/>
      <c r="I637" s="42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>
      <c r="A638" s="8"/>
      <c r="B638" s="8"/>
      <c r="C638" s="8"/>
      <c r="D638" s="8"/>
      <c r="E638" s="42"/>
      <c r="F638" s="42"/>
      <c r="G638" s="42"/>
      <c r="H638" s="42"/>
      <c r="I638" s="42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>
      <c r="A639" s="8"/>
      <c r="B639" s="8"/>
      <c r="C639" s="8"/>
      <c r="D639" s="8"/>
      <c r="E639" s="42"/>
      <c r="F639" s="42"/>
      <c r="G639" s="42"/>
      <c r="H639" s="42"/>
      <c r="I639" s="42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>
      <c r="A640" s="8"/>
      <c r="B640" s="8"/>
      <c r="C640" s="8"/>
      <c r="D640" s="8"/>
      <c r="E640" s="42"/>
      <c r="F640" s="42"/>
      <c r="G640" s="42"/>
      <c r="H640" s="42"/>
      <c r="I640" s="42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>
      <c r="A641" s="8"/>
      <c r="B641" s="8"/>
      <c r="C641" s="8"/>
      <c r="D641" s="8"/>
      <c r="E641" s="42"/>
      <c r="F641" s="42"/>
      <c r="G641" s="42"/>
      <c r="H641" s="42"/>
      <c r="I641" s="42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>
      <c r="A642" s="8"/>
      <c r="B642" s="8"/>
      <c r="C642" s="8"/>
      <c r="D642" s="8"/>
      <c r="E642" s="42"/>
      <c r="F642" s="42"/>
      <c r="G642" s="42"/>
      <c r="H642" s="42"/>
      <c r="I642" s="42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>
      <c r="A643" s="8"/>
      <c r="B643" s="8"/>
      <c r="C643" s="8"/>
      <c r="D643" s="8"/>
      <c r="E643" s="42"/>
      <c r="F643" s="42"/>
      <c r="G643" s="42"/>
      <c r="H643" s="42"/>
      <c r="I643" s="42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>
      <c r="A644" s="8"/>
      <c r="B644" s="8"/>
      <c r="C644" s="8"/>
      <c r="D644" s="8"/>
      <c r="E644" s="42"/>
      <c r="F644" s="42"/>
      <c r="G644" s="42"/>
      <c r="H644" s="42"/>
      <c r="I644" s="42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>
      <c r="A645" s="8"/>
      <c r="B645" s="8"/>
      <c r="C645" s="8"/>
      <c r="D645" s="8"/>
      <c r="E645" s="42"/>
      <c r="F645" s="42"/>
      <c r="G645" s="42"/>
      <c r="H645" s="42"/>
      <c r="I645" s="42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>
      <c r="A646" s="8"/>
      <c r="B646" s="8"/>
      <c r="C646" s="8"/>
      <c r="D646" s="8"/>
      <c r="E646" s="42"/>
      <c r="F646" s="42"/>
      <c r="G646" s="42"/>
      <c r="H646" s="42"/>
      <c r="I646" s="42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>
      <c r="A647" s="8"/>
      <c r="B647" s="8"/>
      <c r="C647" s="8"/>
      <c r="D647" s="8"/>
      <c r="E647" s="42"/>
      <c r="F647" s="42"/>
      <c r="G647" s="42"/>
      <c r="H647" s="42"/>
      <c r="I647" s="42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>
      <c r="A648" s="8"/>
      <c r="B648" s="8"/>
      <c r="C648" s="8"/>
      <c r="D648" s="8"/>
      <c r="E648" s="42"/>
      <c r="F648" s="42"/>
      <c r="G648" s="42"/>
      <c r="H648" s="42"/>
      <c r="I648" s="42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>
      <c r="A649" s="8"/>
      <c r="B649" s="8"/>
      <c r="C649" s="8"/>
      <c r="D649" s="8"/>
      <c r="E649" s="42"/>
      <c r="F649" s="42"/>
      <c r="G649" s="42"/>
      <c r="H649" s="42"/>
      <c r="I649" s="42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>
      <c r="A650" s="8"/>
      <c r="B650" s="8"/>
      <c r="C650" s="8"/>
      <c r="D650" s="8"/>
      <c r="E650" s="42"/>
      <c r="F650" s="42"/>
      <c r="G650" s="42"/>
      <c r="H650" s="42"/>
      <c r="I650" s="42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>
      <c r="A651" s="8"/>
      <c r="B651" s="8"/>
      <c r="C651" s="8"/>
      <c r="D651" s="8"/>
      <c r="E651" s="42"/>
      <c r="F651" s="42"/>
      <c r="G651" s="42"/>
      <c r="H651" s="42"/>
      <c r="I651" s="42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>
      <c r="A652" s="8"/>
      <c r="B652" s="8"/>
      <c r="C652" s="8"/>
      <c r="D652" s="8"/>
      <c r="E652" s="42"/>
      <c r="F652" s="42"/>
      <c r="G652" s="42"/>
      <c r="H652" s="42"/>
      <c r="I652" s="42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>
      <c r="A653" s="8"/>
      <c r="B653" s="8"/>
      <c r="C653" s="8"/>
      <c r="D653" s="8"/>
      <c r="E653" s="42"/>
      <c r="F653" s="42"/>
      <c r="G653" s="42"/>
      <c r="H653" s="42"/>
      <c r="I653" s="42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>
      <c r="A654" s="8"/>
      <c r="B654" s="8"/>
      <c r="C654" s="8"/>
      <c r="D654" s="8"/>
      <c r="E654" s="42"/>
      <c r="F654" s="42"/>
      <c r="G654" s="42"/>
      <c r="H654" s="42"/>
      <c r="I654" s="42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>
      <c r="A655" s="8"/>
      <c r="B655" s="8"/>
      <c r="C655" s="8"/>
      <c r="D655" s="8"/>
      <c r="E655" s="42"/>
      <c r="F655" s="42"/>
      <c r="G655" s="42"/>
      <c r="H655" s="42"/>
      <c r="I655" s="42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>
      <c r="A656" s="8"/>
      <c r="B656" s="8"/>
      <c r="C656" s="8"/>
      <c r="D656" s="8"/>
      <c r="E656" s="42"/>
      <c r="F656" s="42"/>
      <c r="G656" s="42"/>
      <c r="H656" s="42"/>
      <c r="I656" s="42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>
      <c r="A657" s="8"/>
      <c r="B657" s="8"/>
      <c r="C657" s="8"/>
      <c r="D657" s="8"/>
      <c r="E657" s="42"/>
      <c r="F657" s="42"/>
      <c r="G657" s="42"/>
      <c r="H657" s="42"/>
      <c r="I657" s="42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>
      <c r="A658" s="8"/>
      <c r="B658" s="8"/>
      <c r="C658" s="8"/>
      <c r="D658" s="8"/>
      <c r="E658" s="42"/>
      <c r="F658" s="42"/>
      <c r="G658" s="42"/>
      <c r="H658" s="42"/>
      <c r="I658" s="42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>
      <c r="A659" s="8"/>
      <c r="B659" s="8"/>
      <c r="C659" s="8"/>
      <c r="D659" s="8"/>
      <c r="E659" s="42"/>
      <c r="F659" s="42"/>
      <c r="G659" s="42"/>
      <c r="H659" s="42"/>
      <c r="I659" s="42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>
      <c r="A660" s="8"/>
      <c r="B660" s="8"/>
      <c r="C660" s="8"/>
      <c r="D660" s="8"/>
      <c r="E660" s="42"/>
      <c r="F660" s="42"/>
      <c r="G660" s="42"/>
      <c r="H660" s="42"/>
      <c r="I660" s="42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>
      <c r="A661" s="8"/>
      <c r="B661" s="8"/>
      <c r="C661" s="8"/>
      <c r="D661" s="8"/>
      <c r="E661" s="42"/>
      <c r="F661" s="42"/>
      <c r="G661" s="42"/>
      <c r="H661" s="42"/>
      <c r="I661" s="42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>
      <c r="A662" s="8"/>
      <c r="B662" s="8"/>
      <c r="C662" s="8"/>
      <c r="D662" s="8"/>
      <c r="E662" s="42"/>
      <c r="F662" s="42"/>
      <c r="G662" s="42"/>
      <c r="H662" s="42"/>
      <c r="I662" s="42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>
      <c r="A663" s="8"/>
      <c r="B663" s="8"/>
      <c r="C663" s="8"/>
      <c r="D663" s="8"/>
      <c r="E663" s="42"/>
      <c r="F663" s="42"/>
      <c r="G663" s="42"/>
      <c r="H663" s="42"/>
      <c r="I663" s="42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>
      <c r="A664" s="8"/>
      <c r="B664" s="8"/>
      <c r="C664" s="8"/>
      <c r="D664" s="8"/>
      <c r="E664" s="42"/>
      <c r="F664" s="42"/>
      <c r="G664" s="42"/>
      <c r="H664" s="42"/>
      <c r="I664" s="42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>
      <c r="A665" s="8"/>
      <c r="B665" s="8"/>
      <c r="C665" s="8"/>
      <c r="D665" s="8"/>
      <c r="E665" s="42"/>
      <c r="F665" s="42"/>
      <c r="G665" s="42"/>
      <c r="H665" s="42"/>
      <c r="I665" s="42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>
      <c r="A666" s="8"/>
      <c r="B666" s="8"/>
      <c r="C666" s="8"/>
      <c r="D666" s="8"/>
      <c r="E666" s="42"/>
      <c r="F666" s="42"/>
      <c r="G666" s="42"/>
      <c r="H666" s="42"/>
      <c r="I666" s="42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>
      <c r="A667" s="8"/>
      <c r="B667" s="8"/>
      <c r="C667" s="8"/>
      <c r="D667" s="8"/>
      <c r="E667" s="42"/>
      <c r="F667" s="42"/>
      <c r="G667" s="42"/>
      <c r="H667" s="42"/>
      <c r="I667" s="42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>
      <c r="A668" s="8"/>
      <c r="B668" s="8"/>
      <c r="C668" s="8"/>
      <c r="D668" s="8"/>
      <c r="E668" s="42"/>
      <c r="F668" s="42"/>
      <c r="G668" s="42"/>
      <c r="H668" s="42"/>
      <c r="I668" s="42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>
      <c r="A669" s="8"/>
      <c r="B669" s="8"/>
      <c r="C669" s="8"/>
      <c r="D669" s="8"/>
      <c r="E669" s="42"/>
      <c r="F669" s="42"/>
      <c r="G669" s="42"/>
      <c r="H669" s="42"/>
      <c r="I669" s="42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>
      <c r="A670" s="8"/>
      <c r="B670" s="8"/>
      <c r="C670" s="8"/>
      <c r="D670" s="8"/>
      <c r="E670" s="42"/>
      <c r="F670" s="42"/>
      <c r="G670" s="42"/>
      <c r="H670" s="42"/>
      <c r="I670" s="42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>
      <c r="A671" s="8"/>
      <c r="B671" s="8"/>
      <c r="C671" s="8"/>
      <c r="D671" s="8"/>
      <c r="E671" s="42"/>
      <c r="F671" s="42"/>
      <c r="G671" s="42"/>
      <c r="H671" s="42"/>
      <c r="I671" s="42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>
      <c r="A672" s="8"/>
      <c r="B672" s="8"/>
      <c r="C672" s="8"/>
      <c r="D672" s="8"/>
      <c r="E672" s="42"/>
      <c r="F672" s="42"/>
      <c r="G672" s="42"/>
      <c r="H672" s="42"/>
      <c r="I672" s="42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>
      <c r="A673" s="8"/>
      <c r="B673" s="8"/>
      <c r="C673" s="8"/>
      <c r="D673" s="8"/>
      <c r="E673" s="42"/>
      <c r="F673" s="42"/>
      <c r="G673" s="42"/>
      <c r="H673" s="42"/>
      <c r="I673" s="42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>
      <c r="A674" s="8"/>
      <c r="B674" s="8"/>
      <c r="C674" s="8"/>
      <c r="D674" s="8"/>
      <c r="E674" s="42"/>
      <c r="F674" s="42"/>
      <c r="G674" s="42"/>
      <c r="H674" s="42"/>
      <c r="I674" s="42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>
      <c r="A675" s="8"/>
      <c r="B675" s="8"/>
      <c r="C675" s="8"/>
      <c r="D675" s="8"/>
      <c r="E675" s="42"/>
      <c r="F675" s="42"/>
      <c r="G675" s="42"/>
      <c r="H675" s="42"/>
      <c r="I675" s="42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>
      <c r="A676" s="8"/>
      <c r="B676" s="8"/>
      <c r="C676" s="8"/>
      <c r="D676" s="8"/>
      <c r="E676" s="42"/>
      <c r="F676" s="42"/>
      <c r="G676" s="42"/>
      <c r="H676" s="42"/>
      <c r="I676" s="42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>
      <c r="A677" s="8"/>
      <c r="B677" s="8"/>
      <c r="C677" s="8"/>
      <c r="D677" s="8"/>
      <c r="E677" s="42"/>
      <c r="F677" s="42"/>
      <c r="G677" s="42"/>
      <c r="H677" s="42"/>
      <c r="I677" s="42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>
      <c r="A678" s="8"/>
      <c r="B678" s="8"/>
      <c r="C678" s="8"/>
      <c r="D678" s="8"/>
      <c r="E678" s="42"/>
      <c r="F678" s="42"/>
      <c r="G678" s="42"/>
      <c r="H678" s="42"/>
      <c r="I678" s="42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>
      <c r="A679" s="8"/>
      <c r="B679" s="8"/>
      <c r="C679" s="8"/>
      <c r="D679" s="8"/>
      <c r="E679" s="42"/>
      <c r="F679" s="42"/>
      <c r="G679" s="42"/>
      <c r="H679" s="42"/>
      <c r="I679" s="42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>
      <c r="A680" s="8"/>
      <c r="B680" s="8"/>
      <c r="C680" s="8"/>
      <c r="D680" s="8"/>
      <c r="E680" s="42"/>
      <c r="F680" s="42"/>
      <c r="G680" s="42"/>
      <c r="H680" s="42"/>
      <c r="I680" s="42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>
      <c r="A681" s="8"/>
      <c r="B681" s="8"/>
      <c r="C681" s="8"/>
      <c r="D681" s="8"/>
      <c r="E681" s="42"/>
      <c r="F681" s="42"/>
      <c r="G681" s="42"/>
      <c r="H681" s="42"/>
      <c r="I681" s="42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>
      <c r="A682" s="8"/>
      <c r="B682" s="8"/>
      <c r="C682" s="8"/>
      <c r="D682" s="8"/>
      <c r="E682" s="42"/>
      <c r="F682" s="42"/>
      <c r="G682" s="42"/>
      <c r="H682" s="42"/>
      <c r="I682" s="42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>
      <c r="A683" s="8"/>
      <c r="B683" s="8"/>
      <c r="C683" s="8"/>
      <c r="D683" s="8"/>
      <c r="E683" s="42"/>
      <c r="F683" s="42"/>
      <c r="G683" s="42"/>
      <c r="H683" s="42"/>
      <c r="I683" s="42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>
      <c r="A684" s="8"/>
      <c r="B684" s="8"/>
      <c r="C684" s="8"/>
      <c r="D684" s="8"/>
      <c r="E684" s="42"/>
      <c r="F684" s="42"/>
      <c r="G684" s="42"/>
      <c r="H684" s="42"/>
      <c r="I684" s="42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>
      <c r="A685" s="8"/>
      <c r="B685" s="8"/>
      <c r="C685" s="8"/>
      <c r="D685" s="8"/>
      <c r="E685" s="42"/>
      <c r="F685" s="42"/>
      <c r="G685" s="42"/>
      <c r="H685" s="42"/>
      <c r="I685" s="42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>
      <c r="A686" s="8"/>
      <c r="B686" s="8"/>
      <c r="C686" s="8"/>
      <c r="D686" s="8"/>
      <c r="E686" s="42"/>
      <c r="F686" s="42"/>
      <c r="G686" s="42"/>
      <c r="H686" s="42"/>
      <c r="I686" s="42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>
      <c r="A687" s="8"/>
      <c r="B687" s="8"/>
      <c r="C687" s="8"/>
      <c r="D687" s="8"/>
      <c r="E687" s="42"/>
      <c r="F687" s="42"/>
      <c r="G687" s="42"/>
      <c r="H687" s="42"/>
      <c r="I687" s="42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>
      <c r="A688" s="8"/>
      <c r="B688" s="8"/>
      <c r="C688" s="8"/>
      <c r="D688" s="8"/>
      <c r="E688" s="42"/>
      <c r="F688" s="42"/>
      <c r="G688" s="42"/>
      <c r="H688" s="42"/>
      <c r="I688" s="42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>
      <c r="A689" s="8"/>
      <c r="B689" s="8"/>
      <c r="C689" s="8"/>
      <c r="D689" s="8"/>
      <c r="E689" s="42"/>
      <c r="F689" s="42"/>
      <c r="G689" s="42"/>
      <c r="H689" s="42"/>
      <c r="I689" s="42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>
      <c r="A690" s="8"/>
      <c r="B690" s="8"/>
      <c r="C690" s="8"/>
      <c r="D690" s="8"/>
      <c r="E690" s="42"/>
      <c r="F690" s="42"/>
      <c r="G690" s="42"/>
      <c r="H690" s="42"/>
      <c r="I690" s="42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>
      <c r="A691" s="8"/>
      <c r="B691" s="8"/>
      <c r="C691" s="8"/>
      <c r="D691" s="8"/>
      <c r="E691" s="42"/>
      <c r="F691" s="42"/>
      <c r="G691" s="42"/>
      <c r="H691" s="42"/>
      <c r="I691" s="42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>
      <c r="A692" s="8"/>
      <c r="B692" s="8"/>
      <c r="C692" s="8"/>
      <c r="D692" s="8"/>
      <c r="E692" s="42"/>
      <c r="F692" s="42"/>
      <c r="G692" s="42"/>
      <c r="H692" s="42"/>
      <c r="I692" s="42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>
      <c r="A693" s="8"/>
      <c r="B693" s="8"/>
      <c r="C693" s="8"/>
      <c r="D693" s="8"/>
      <c r="E693" s="42"/>
      <c r="F693" s="42"/>
      <c r="G693" s="42"/>
      <c r="H693" s="42"/>
      <c r="I693" s="42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>
      <c r="A694" s="8"/>
      <c r="B694" s="8"/>
      <c r="C694" s="8"/>
      <c r="D694" s="8"/>
      <c r="E694" s="42"/>
      <c r="F694" s="42"/>
      <c r="G694" s="42"/>
      <c r="H694" s="42"/>
      <c r="I694" s="42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>
      <c r="A695" s="8"/>
      <c r="B695" s="8"/>
      <c r="C695" s="8"/>
      <c r="D695" s="8"/>
      <c r="E695" s="42"/>
      <c r="F695" s="42"/>
      <c r="G695" s="42"/>
      <c r="H695" s="42"/>
      <c r="I695" s="42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>
      <c r="A696" s="8"/>
      <c r="B696" s="8"/>
      <c r="C696" s="8"/>
      <c r="D696" s="8"/>
      <c r="E696" s="42"/>
      <c r="F696" s="42"/>
      <c r="G696" s="42"/>
      <c r="H696" s="42"/>
      <c r="I696" s="42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>
      <c r="A697" s="8"/>
      <c r="B697" s="8"/>
      <c r="C697" s="8"/>
      <c r="D697" s="8"/>
      <c r="E697" s="42"/>
      <c r="F697" s="42"/>
      <c r="G697" s="42"/>
      <c r="H697" s="42"/>
      <c r="I697" s="42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>
      <c r="A698" s="8"/>
      <c r="B698" s="8"/>
      <c r="C698" s="8"/>
      <c r="D698" s="8"/>
      <c r="E698" s="42"/>
      <c r="F698" s="42"/>
      <c r="G698" s="42"/>
      <c r="H698" s="42"/>
      <c r="I698" s="42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>
      <c r="A699" s="8"/>
      <c r="B699" s="8"/>
      <c r="C699" s="8"/>
      <c r="D699" s="8"/>
      <c r="E699" s="42"/>
      <c r="F699" s="42"/>
      <c r="G699" s="42"/>
      <c r="H699" s="42"/>
      <c r="I699" s="42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>
      <c r="A700" s="8"/>
      <c r="B700" s="8"/>
      <c r="C700" s="8"/>
      <c r="D700" s="8"/>
      <c r="E700" s="42"/>
      <c r="F700" s="42"/>
      <c r="G700" s="42"/>
      <c r="H700" s="42"/>
      <c r="I700" s="42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>
      <c r="A701" s="8"/>
      <c r="B701" s="8"/>
      <c r="C701" s="8"/>
      <c r="D701" s="8"/>
      <c r="E701" s="42"/>
      <c r="F701" s="42"/>
      <c r="G701" s="42"/>
      <c r="H701" s="42"/>
      <c r="I701" s="42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>
      <c r="A702" s="8"/>
      <c r="B702" s="8"/>
      <c r="C702" s="8"/>
      <c r="D702" s="8"/>
      <c r="E702" s="42"/>
      <c r="F702" s="42"/>
      <c r="G702" s="42"/>
      <c r="H702" s="42"/>
      <c r="I702" s="42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>
      <c r="A703" s="8"/>
      <c r="B703" s="8"/>
      <c r="C703" s="8"/>
      <c r="D703" s="8"/>
      <c r="E703" s="42"/>
      <c r="F703" s="42"/>
      <c r="G703" s="42"/>
      <c r="H703" s="42"/>
      <c r="I703" s="42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>
      <c r="A704" s="8"/>
      <c r="B704" s="8"/>
      <c r="C704" s="8"/>
      <c r="D704" s="8"/>
      <c r="E704" s="42"/>
      <c r="F704" s="42"/>
      <c r="G704" s="42"/>
      <c r="H704" s="42"/>
      <c r="I704" s="42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>
      <c r="A705" s="8"/>
      <c r="B705" s="8"/>
      <c r="C705" s="8"/>
      <c r="D705" s="8"/>
      <c r="E705" s="42"/>
      <c r="F705" s="42"/>
      <c r="G705" s="42"/>
      <c r="H705" s="42"/>
      <c r="I705" s="42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>
      <c r="A706" s="8"/>
      <c r="B706" s="8"/>
      <c r="C706" s="8"/>
      <c r="D706" s="8"/>
      <c r="E706" s="42"/>
      <c r="F706" s="42"/>
      <c r="G706" s="42"/>
      <c r="H706" s="42"/>
      <c r="I706" s="42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>
      <c r="A707" s="8"/>
      <c r="B707" s="8"/>
      <c r="C707" s="8"/>
      <c r="D707" s="8"/>
      <c r="E707" s="42"/>
      <c r="F707" s="42"/>
      <c r="G707" s="42"/>
      <c r="H707" s="42"/>
      <c r="I707" s="42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>
      <c r="A708" s="8"/>
      <c r="B708" s="8"/>
      <c r="C708" s="8"/>
      <c r="D708" s="8"/>
      <c r="E708" s="42"/>
      <c r="F708" s="42"/>
      <c r="G708" s="42"/>
      <c r="H708" s="42"/>
      <c r="I708" s="42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>
      <c r="A709" s="8"/>
      <c r="B709" s="8"/>
      <c r="C709" s="8"/>
      <c r="D709" s="8"/>
      <c r="E709" s="42"/>
      <c r="F709" s="42"/>
      <c r="G709" s="42"/>
      <c r="H709" s="42"/>
      <c r="I709" s="42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>
      <c r="A710" s="8"/>
      <c r="B710" s="8"/>
      <c r="C710" s="8"/>
      <c r="D710" s="8"/>
      <c r="E710" s="42"/>
      <c r="F710" s="42"/>
      <c r="G710" s="42"/>
      <c r="H710" s="42"/>
      <c r="I710" s="42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>
      <c r="A711" s="8"/>
      <c r="B711" s="8"/>
      <c r="C711" s="8"/>
      <c r="D711" s="8"/>
      <c r="E711" s="42"/>
      <c r="F711" s="42"/>
      <c r="G711" s="42"/>
      <c r="H711" s="42"/>
      <c r="I711" s="42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>
      <c r="A712" s="8"/>
      <c r="B712" s="8"/>
      <c r="C712" s="8"/>
      <c r="D712" s="8"/>
      <c r="E712" s="42"/>
      <c r="F712" s="42"/>
      <c r="G712" s="42"/>
      <c r="H712" s="42"/>
      <c r="I712" s="42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>
      <c r="A713" s="8"/>
      <c r="B713" s="8"/>
      <c r="C713" s="8"/>
      <c r="D713" s="8"/>
      <c r="E713" s="42"/>
      <c r="F713" s="42"/>
      <c r="G713" s="42"/>
      <c r="H713" s="42"/>
      <c r="I713" s="42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>
      <c r="A714" s="8"/>
      <c r="B714" s="8"/>
      <c r="C714" s="8"/>
      <c r="D714" s="8"/>
      <c r="E714" s="42"/>
      <c r="F714" s="42"/>
      <c r="G714" s="42"/>
      <c r="H714" s="42"/>
      <c r="I714" s="42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>
      <c r="A715" s="8"/>
      <c r="B715" s="8"/>
      <c r="C715" s="8"/>
      <c r="D715" s="8"/>
      <c r="E715" s="42"/>
      <c r="F715" s="42"/>
      <c r="G715" s="42"/>
      <c r="H715" s="42"/>
      <c r="I715" s="42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>
      <c r="A716" s="8"/>
      <c r="B716" s="8"/>
      <c r="C716" s="8"/>
      <c r="D716" s="8"/>
      <c r="E716" s="42"/>
      <c r="F716" s="42"/>
      <c r="G716" s="42"/>
      <c r="H716" s="42"/>
      <c r="I716" s="42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>
      <c r="A717" s="8"/>
      <c r="B717" s="8"/>
      <c r="C717" s="8"/>
      <c r="D717" s="8"/>
      <c r="E717" s="42"/>
      <c r="F717" s="42"/>
      <c r="G717" s="42"/>
      <c r="H717" s="42"/>
      <c r="I717" s="42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>
      <c r="A718" s="8"/>
      <c r="B718" s="8"/>
      <c r="C718" s="8"/>
      <c r="D718" s="8"/>
      <c r="E718" s="42"/>
      <c r="F718" s="42"/>
      <c r="G718" s="42"/>
      <c r="H718" s="42"/>
      <c r="I718" s="42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>
      <c r="A719" s="8"/>
      <c r="B719" s="8"/>
      <c r="C719" s="8"/>
      <c r="D719" s="8"/>
      <c r="E719" s="42"/>
      <c r="F719" s="42"/>
      <c r="G719" s="42"/>
      <c r="H719" s="42"/>
      <c r="I719" s="42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>
      <c r="A720" s="8"/>
      <c r="B720" s="8"/>
      <c r="C720" s="8"/>
      <c r="D720" s="8"/>
      <c r="E720" s="42"/>
      <c r="F720" s="42"/>
      <c r="G720" s="42"/>
      <c r="H720" s="42"/>
      <c r="I720" s="42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>
      <c r="A721" s="8"/>
      <c r="B721" s="8"/>
      <c r="C721" s="8"/>
      <c r="D721" s="8"/>
      <c r="E721" s="42"/>
      <c r="F721" s="42"/>
      <c r="G721" s="42"/>
      <c r="H721" s="42"/>
      <c r="I721" s="42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>
      <c r="A722" s="8"/>
      <c r="B722" s="8"/>
      <c r="C722" s="8"/>
      <c r="D722" s="8"/>
      <c r="E722" s="42"/>
      <c r="F722" s="42"/>
      <c r="G722" s="42"/>
      <c r="H722" s="42"/>
      <c r="I722" s="42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>
      <c r="A723" s="8"/>
      <c r="B723" s="8"/>
      <c r="C723" s="8"/>
      <c r="D723" s="8"/>
      <c r="E723" s="42"/>
      <c r="F723" s="42"/>
      <c r="G723" s="42"/>
      <c r="H723" s="42"/>
      <c r="I723" s="42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>
      <c r="A724" s="8"/>
      <c r="B724" s="8"/>
      <c r="C724" s="8"/>
      <c r="D724" s="8"/>
      <c r="E724" s="42"/>
      <c r="F724" s="42"/>
      <c r="G724" s="42"/>
      <c r="H724" s="42"/>
      <c r="I724" s="42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>
      <c r="A725" s="8"/>
      <c r="B725" s="8"/>
      <c r="C725" s="8"/>
      <c r="D725" s="8"/>
      <c r="E725" s="42"/>
      <c r="F725" s="42"/>
      <c r="G725" s="42"/>
      <c r="H725" s="42"/>
      <c r="I725" s="42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>
      <c r="A726" s="8"/>
      <c r="B726" s="8"/>
      <c r="C726" s="8"/>
      <c r="D726" s="8"/>
      <c r="E726" s="42"/>
      <c r="F726" s="42"/>
      <c r="G726" s="42"/>
      <c r="H726" s="42"/>
      <c r="I726" s="42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>
      <c r="A727" s="8"/>
      <c r="B727" s="8"/>
      <c r="C727" s="8"/>
      <c r="D727" s="8"/>
      <c r="E727" s="42"/>
      <c r="F727" s="42"/>
      <c r="G727" s="42"/>
      <c r="H727" s="42"/>
      <c r="I727" s="42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>
      <c r="A728" s="8"/>
      <c r="B728" s="8"/>
      <c r="C728" s="8"/>
      <c r="D728" s="8"/>
      <c r="E728" s="42"/>
      <c r="F728" s="42"/>
      <c r="G728" s="42"/>
      <c r="H728" s="42"/>
      <c r="I728" s="42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>
      <c r="A729" s="8"/>
      <c r="B729" s="8"/>
      <c r="C729" s="8"/>
      <c r="D729" s="8"/>
      <c r="E729" s="42"/>
      <c r="F729" s="42"/>
      <c r="G729" s="42"/>
      <c r="H729" s="42"/>
      <c r="I729" s="42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>
      <c r="A730" s="8"/>
      <c r="B730" s="8"/>
      <c r="C730" s="8"/>
      <c r="D730" s="8"/>
      <c r="E730" s="42"/>
      <c r="F730" s="42"/>
      <c r="G730" s="42"/>
      <c r="H730" s="42"/>
      <c r="I730" s="42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>
      <c r="A731" s="8"/>
      <c r="B731" s="8"/>
      <c r="C731" s="8"/>
      <c r="D731" s="8"/>
      <c r="E731" s="42"/>
      <c r="F731" s="42"/>
      <c r="G731" s="42"/>
      <c r="H731" s="42"/>
      <c r="I731" s="42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>
      <c r="A732" s="8"/>
      <c r="B732" s="8"/>
      <c r="C732" s="8"/>
      <c r="D732" s="8"/>
      <c r="E732" s="42"/>
      <c r="F732" s="42"/>
      <c r="G732" s="42"/>
      <c r="H732" s="42"/>
      <c r="I732" s="42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>
      <c r="A733" s="8"/>
      <c r="B733" s="8"/>
      <c r="C733" s="8"/>
      <c r="D733" s="8"/>
      <c r="E733" s="42"/>
      <c r="F733" s="42"/>
      <c r="G733" s="42"/>
      <c r="H733" s="42"/>
      <c r="I733" s="42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>
      <c r="A734" s="8"/>
      <c r="B734" s="8"/>
      <c r="C734" s="8"/>
      <c r="D734" s="8"/>
      <c r="E734" s="42"/>
      <c r="F734" s="42"/>
      <c r="G734" s="42"/>
      <c r="H734" s="42"/>
      <c r="I734" s="42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>
      <c r="A735" s="8"/>
      <c r="B735" s="8"/>
      <c r="C735" s="8"/>
      <c r="D735" s="8"/>
      <c r="E735" s="42"/>
      <c r="F735" s="42"/>
      <c r="G735" s="42"/>
      <c r="H735" s="42"/>
      <c r="I735" s="42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>
      <c r="A736" s="8"/>
      <c r="B736" s="8"/>
      <c r="C736" s="8"/>
      <c r="D736" s="8"/>
      <c r="E736" s="42"/>
      <c r="F736" s="42"/>
      <c r="G736" s="42"/>
      <c r="H736" s="42"/>
      <c r="I736" s="42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>
      <c r="A737" s="8"/>
      <c r="B737" s="8"/>
      <c r="C737" s="8"/>
      <c r="D737" s="8"/>
      <c r="E737" s="42"/>
      <c r="F737" s="42"/>
      <c r="G737" s="42"/>
      <c r="H737" s="42"/>
      <c r="I737" s="42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>
      <c r="A738" s="8"/>
      <c r="B738" s="8"/>
      <c r="C738" s="8"/>
      <c r="D738" s="8"/>
      <c r="E738" s="42"/>
      <c r="F738" s="42"/>
      <c r="G738" s="42"/>
      <c r="H738" s="42"/>
      <c r="I738" s="42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>
      <c r="A739" s="8"/>
      <c r="B739" s="8"/>
      <c r="C739" s="8"/>
      <c r="D739" s="8"/>
      <c r="E739" s="42"/>
      <c r="F739" s="42"/>
      <c r="G739" s="42"/>
      <c r="H739" s="42"/>
      <c r="I739" s="42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>
      <c r="A740" s="8"/>
      <c r="B740" s="8"/>
      <c r="C740" s="8"/>
      <c r="D740" s="8"/>
      <c r="E740" s="42"/>
      <c r="F740" s="42"/>
      <c r="G740" s="42"/>
      <c r="H740" s="42"/>
      <c r="I740" s="42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>
      <c r="A741" s="8"/>
      <c r="B741" s="8"/>
      <c r="C741" s="8"/>
      <c r="D741" s="8"/>
      <c r="E741" s="42"/>
      <c r="F741" s="42"/>
      <c r="G741" s="42"/>
      <c r="H741" s="42"/>
      <c r="I741" s="42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>
      <c r="A742" s="8"/>
      <c r="B742" s="8"/>
      <c r="C742" s="8"/>
      <c r="D742" s="8"/>
      <c r="E742" s="42"/>
      <c r="F742" s="42"/>
      <c r="G742" s="42"/>
      <c r="H742" s="42"/>
      <c r="I742" s="42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>
      <c r="A743" s="8"/>
      <c r="B743" s="8"/>
      <c r="C743" s="8"/>
      <c r="D743" s="8"/>
      <c r="E743" s="42"/>
      <c r="F743" s="42"/>
      <c r="G743" s="42"/>
      <c r="H743" s="42"/>
      <c r="I743" s="42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>
      <c r="A744" s="8"/>
      <c r="B744" s="8"/>
      <c r="C744" s="8"/>
      <c r="D744" s="8"/>
      <c r="E744" s="42"/>
      <c r="F744" s="42"/>
      <c r="G744" s="42"/>
      <c r="H744" s="42"/>
      <c r="I744" s="42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>
      <c r="A745" s="8"/>
      <c r="B745" s="8"/>
      <c r="C745" s="8"/>
      <c r="D745" s="8"/>
      <c r="E745" s="42"/>
      <c r="F745" s="42"/>
      <c r="G745" s="42"/>
      <c r="H745" s="42"/>
      <c r="I745" s="42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>
      <c r="A746" s="8"/>
      <c r="B746" s="8"/>
      <c r="C746" s="8"/>
      <c r="D746" s="8"/>
      <c r="E746" s="42"/>
      <c r="F746" s="42"/>
      <c r="G746" s="42"/>
      <c r="H746" s="42"/>
      <c r="I746" s="42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>
      <c r="A747" s="8"/>
      <c r="B747" s="8"/>
      <c r="C747" s="8"/>
      <c r="D747" s="8"/>
      <c r="E747" s="42"/>
      <c r="F747" s="42"/>
      <c r="G747" s="42"/>
      <c r="H747" s="42"/>
      <c r="I747" s="42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>
      <c r="A748" s="8"/>
      <c r="B748" s="8"/>
      <c r="C748" s="8"/>
      <c r="D748" s="8"/>
      <c r="E748" s="42"/>
      <c r="F748" s="42"/>
      <c r="G748" s="42"/>
      <c r="H748" s="42"/>
      <c r="I748" s="42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>
      <c r="A749" s="8"/>
      <c r="B749" s="8"/>
      <c r="C749" s="8"/>
      <c r="D749" s="8"/>
      <c r="E749" s="42"/>
      <c r="F749" s="42"/>
      <c r="G749" s="42"/>
      <c r="H749" s="42"/>
      <c r="I749" s="42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>
      <c r="A750" s="8"/>
      <c r="B750" s="8"/>
      <c r="C750" s="8"/>
      <c r="D750" s="8"/>
      <c r="E750" s="42"/>
      <c r="F750" s="42"/>
      <c r="G750" s="42"/>
      <c r="H750" s="42"/>
      <c r="I750" s="42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>
      <c r="A751" s="8"/>
      <c r="B751" s="8"/>
      <c r="C751" s="8"/>
      <c r="D751" s="8"/>
      <c r="E751" s="42"/>
      <c r="F751" s="42"/>
      <c r="G751" s="42"/>
      <c r="H751" s="42"/>
      <c r="I751" s="42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>
      <c r="A752" s="8"/>
      <c r="B752" s="8"/>
      <c r="C752" s="8"/>
      <c r="D752" s="8"/>
      <c r="E752" s="42"/>
      <c r="F752" s="42"/>
      <c r="G752" s="42"/>
      <c r="H752" s="42"/>
      <c r="I752" s="42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>
      <c r="A753" s="8"/>
      <c r="B753" s="8"/>
      <c r="C753" s="8"/>
      <c r="D753" s="8"/>
      <c r="E753" s="42"/>
      <c r="F753" s="42"/>
      <c r="G753" s="42"/>
      <c r="H753" s="42"/>
      <c r="I753" s="42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>
      <c r="A754" s="8"/>
      <c r="B754" s="8"/>
      <c r="C754" s="8"/>
      <c r="D754" s="8"/>
      <c r="E754" s="42"/>
      <c r="F754" s="42"/>
      <c r="G754" s="42"/>
      <c r="H754" s="42"/>
      <c r="I754" s="42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>
      <c r="A755" s="8"/>
      <c r="B755" s="8"/>
      <c r="C755" s="8"/>
      <c r="D755" s="8"/>
      <c r="E755" s="42"/>
      <c r="F755" s="42"/>
      <c r="G755" s="42"/>
      <c r="H755" s="42"/>
      <c r="I755" s="42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>
      <c r="A756" s="8"/>
      <c r="B756" s="8"/>
      <c r="C756" s="8"/>
      <c r="D756" s="8"/>
      <c r="E756" s="42"/>
      <c r="F756" s="42"/>
      <c r="G756" s="42"/>
      <c r="H756" s="42"/>
      <c r="I756" s="42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>
      <c r="A757" s="8"/>
      <c r="B757" s="8"/>
      <c r="C757" s="8"/>
      <c r="D757" s="8"/>
      <c r="E757" s="42"/>
      <c r="F757" s="42"/>
      <c r="G757" s="42"/>
      <c r="H757" s="42"/>
      <c r="I757" s="42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>
      <c r="A758" s="8"/>
      <c r="B758" s="8"/>
      <c r="C758" s="8"/>
      <c r="D758" s="8"/>
      <c r="E758" s="42"/>
      <c r="F758" s="42"/>
      <c r="G758" s="42"/>
      <c r="H758" s="42"/>
      <c r="I758" s="42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>
      <c r="A759" s="8"/>
      <c r="B759" s="8"/>
      <c r="C759" s="8"/>
      <c r="D759" s="8"/>
      <c r="E759" s="42"/>
      <c r="F759" s="42"/>
      <c r="G759" s="42"/>
      <c r="H759" s="42"/>
      <c r="I759" s="42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>
      <c r="A760" s="8"/>
      <c r="B760" s="8"/>
      <c r="C760" s="8"/>
      <c r="D760" s="8"/>
      <c r="E760" s="42"/>
      <c r="F760" s="42"/>
      <c r="G760" s="42"/>
      <c r="H760" s="42"/>
      <c r="I760" s="42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>
      <c r="A761" s="8"/>
      <c r="B761" s="8"/>
      <c r="C761" s="8"/>
      <c r="D761" s="8"/>
      <c r="E761" s="42"/>
      <c r="F761" s="42"/>
      <c r="G761" s="42"/>
      <c r="H761" s="42"/>
      <c r="I761" s="42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>
      <c r="A762" s="8"/>
      <c r="B762" s="8"/>
      <c r="C762" s="8"/>
      <c r="D762" s="8"/>
      <c r="E762" s="42"/>
      <c r="F762" s="42"/>
      <c r="G762" s="42"/>
      <c r="H762" s="42"/>
      <c r="I762" s="42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>
      <c r="A763" s="8"/>
      <c r="B763" s="8"/>
      <c r="C763" s="8"/>
      <c r="D763" s="8"/>
      <c r="E763" s="42"/>
      <c r="F763" s="42"/>
      <c r="G763" s="42"/>
      <c r="H763" s="42"/>
      <c r="I763" s="42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>
      <c r="A764" s="8"/>
      <c r="B764" s="8"/>
      <c r="C764" s="8"/>
      <c r="D764" s="8"/>
      <c r="E764" s="42"/>
      <c r="F764" s="42"/>
      <c r="G764" s="42"/>
      <c r="H764" s="42"/>
      <c r="I764" s="42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>
      <c r="A765" s="8"/>
      <c r="B765" s="8"/>
      <c r="C765" s="8"/>
      <c r="D765" s="8"/>
      <c r="E765" s="42"/>
      <c r="F765" s="42"/>
      <c r="G765" s="42"/>
      <c r="H765" s="42"/>
      <c r="I765" s="42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>
      <c r="A766" s="8"/>
      <c r="B766" s="8"/>
      <c r="C766" s="8"/>
      <c r="D766" s="8"/>
      <c r="E766" s="42"/>
      <c r="F766" s="42"/>
      <c r="G766" s="42"/>
      <c r="H766" s="42"/>
      <c r="I766" s="42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>
      <c r="A767" s="8"/>
      <c r="B767" s="8"/>
      <c r="C767" s="8"/>
      <c r="D767" s="8"/>
      <c r="E767" s="42"/>
      <c r="F767" s="42"/>
      <c r="G767" s="42"/>
      <c r="H767" s="42"/>
      <c r="I767" s="42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>
      <c r="A768" s="8"/>
      <c r="B768" s="8"/>
      <c r="C768" s="8"/>
      <c r="D768" s="8"/>
      <c r="E768" s="42"/>
      <c r="F768" s="42"/>
      <c r="G768" s="42"/>
      <c r="H768" s="42"/>
      <c r="I768" s="42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>
      <c r="A769" s="8"/>
      <c r="B769" s="8"/>
      <c r="C769" s="8"/>
      <c r="D769" s="8"/>
      <c r="E769" s="42"/>
      <c r="F769" s="42"/>
      <c r="G769" s="42"/>
      <c r="H769" s="42"/>
      <c r="I769" s="42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>
      <c r="A770" s="8"/>
      <c r="B770" s="8"/>
      <c r="C770" s="8"/>
      <c r="D770" s="8"/>
      <c r="E770" s="42"/>
      <c r="F770" s="42"/>
      <c r="G770" s="42"/>
      <c r="H770" s="42"/>
      <c r="I770" s="42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>
      <c r="A771" s="8"/>
      <c r="B771" s="8"/>
      <c r="C771" s="8"/>
      <c r="D771" s="8"/>
      <c r="E771" s="42"/>
      <c r="F771" s="42"/>
      <c r="G771" s="42"/>
      <c r="H771" s="42"/>
      <c r="I771" s="42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>
      <c r="A772" s="8"/>
      <c r="B772" s="8"/>
      <c r="C772" s="8"/>
      <c r="D772" s="8"/>
      <c r="E772" s="42"/>
      <c r="F772" s="42"/>
      <c r="G772" s="42"/>
      <c r="H772" s="42"/>
      <c r="I772" s="42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>
      <c r="A773" s="8"/>
      <c r="B773" s="8"/>
      <c r="C773" s="8"/>
      <c r="D773" s="8"/>
      <c r="E773" s="42"/>
      <c r="F773" s="42"/>
      <c r="G773" s="42"/>
      <c r="H773" s="42"/>
      <c r="I773" s="42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>
      <c r="A774" s="8"/>
      <c r="B774" s="8"/>
      <c r="C774" s="8"/>
      <c r="D774" s="8"/>
      <c r="E774" s="42"/>
      <c r="F774" s="42"/>
      <c r="G774" s="42"/>
      <c r="H774" s="42"/>
      <c r="I774" s="42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>
      <c r="A775" s="8"/>
      <c r="B775" s="8"/>
      <c r="C775" s="8"/>
      <c r="D775" s="8"/>
      <c r="E775" s="42"/>
      <c r="F775" s="42"/>
      <c r="G775" s="42"/>
      <c r="H775" s="42"/>
      <c r="I775" s="42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>
      <c r="A776" s="8"/>
      <c r="B776" s="8"/>
      <c r="C776" s="8"/>
      <c r="D776" s="8"/>
      <c r="E776" s="42"/>
      <c r="F776" s="42"/>
      <c r="G776" s="42"/>
      <c r="H776" s="42"/>
      <c r="I776" s="42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>
      <c r="A777" s="8"/>
      <c r="B777" s="8"/>
      <c r="C777" s="8"/>
      <c r="D777" s="8"/>
      <c r="E777" s="42"/>
      <c r="F777" s="42"/>
      <c r="G777" s="42"/>
      <c r="H777" s="42"/>
      <c r="I777" s="42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>
      <c r="A778" s="8"/>
      <c r="B778" s="8"/>
      <c r="C778" s="8"/>
      <c r="D778" s="8"/>
      <c r="E778" s="42"/>
      <c r="F778" s="42"/>
      <c r="G778" s="42"/>
      <c r="H778" s="42"/>
      <c r="I778" s="42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>
      <c r="A779" s="8"/>
      <c r="B779" s="8"/>
      <c r="C779" s="8"/>
      <c r="D779" s="8"/>
      <c r="E779" s="42"/>
      <c r="F779" s="42"/>
      <c r="G779" s="42"/>
      <c r="H779" s="42"/>
      <c r="I779" s="42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>
      <c r="A780" s="8"/>
      <c r="B780" s="8"/>
      <c r="C780" s="8"/>
      <c r="D780" s="8"/>
      <c r="E780" s="42"/>
      <c r="F780" s="42"/>
      <c r="G780" s="42"/>
      <c r="H780" s="42"/>
      <c r="I780" s="42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>
      <c r="A781" s="8"/>
      <c r="B781" s="8"/>
      <c r="C781" s="8"/>
      <c r="D781" s="8"/>
      <c r="E781" s="42"/>
      <c r="F781" s="42"/>
      <c r="G781" s="42"/>
      <c r="H781" s="42"/>
      <c r="I781" s="42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>
      <c r="A782" s="8"/>
      <c r="B782" s="8"/>
      <c r="C782" s="8"/>
      <c r="D782" s="8"/>
      <c r="E782" s="42"/>
      <c r="F782" s="42"/>
      <c r="G782" s="42"/>
      <c r="H782" s="42"/>
      <c r="I782" s="42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>
      <c r="A783" s="8"/>
      <c r="B783" s="8"/>
      <c r="C783" s="8"/>
      <c r="D783" s="8"/>
      <c r="E783" s="42"/>
      <c r="F783" s="42"/>
      <c r="G783" s="42"/>
      <c r="H783" s="42"/>
      <c r="I783" s="42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>
      <c r="A784" s="8"/>
      <c r="B784" s="8"/>
      <c r="C784" s="8"/>
      <c r="D784" s="8"/>
      <c r="E784" s="42"/>
      <c r="F784" s="42"/>
      <c r="G784" s="42"/>
      <c r="H784" s="42"/>
      <c r="I784" s="42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>
      <c r="A785" s="8"/>
      <c r="B785" s="8"/>
      <c r="C785" s="8"/>
      <c r="D785" s="8"/>
      <c r="E785" s="42"/>
      <c r="F785" s="42"/>
      <c r="G785" s="42"/>
      <c r="H785" s="42"/>
      <c r="I785" s="42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>
      <c r="A786" s="8"/>
      <c r="B786" s="8"/>
      <c r="C786" s="8"/>
      <c r="D786" s="8"/>
      <c r="E786" s="42"/>
      <c r="F786" s="42"/>
      <c r="G786" s="42"/>
      <c r="H786" s="42"/>
      <c r="I786" s="42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>
      <c r="A787" s="8"/>
      <c r="B787" s="8"/>
      <c r="C787" s="8"/>
      <c r="D787" s="8"/>
      <c r="E787" s="42"/>
      <c r="F787" s="42"/>
      <c r="G787" s="42"/>
      <c r="H787" s="42"/>
      <c r="I787" s="42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>
      <c r="A788" s="8"/>
      <c r="B788" s="8"/>
      <c r="C788" s="8"/>
      <c r="D788" s="8"/>
      <c r="E788" s="42"/>
      <c r="F788" s="42"/>
      <c r="G788" s="42"/>
      <c r="H788" s="42"/>
      <c r="I788" s="42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>
      <c r="A789" s="8"/>
      <c r="B789" s="8"/>
      <c r="C789" s="8"/>
      <c r="D789" s="8"/>
      <c r="E789" s="42"/>
      <c r="F789" s="42"/>
      <c r="G789" s="42"/>
      <c r="H789" s="42"/>
      <c r="I789" s="42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>
      <c r="A790" s="8"/>
      <c r="B790" s="8"/>
      <c r="C790" s="8"/>
      <c r="D790" s="8"/>
      <c r="E790" s="42"/>
      <c r="F790" s="42"/>
      <c r="G790" s="42"/>
      <c r="H790" s="42"/>
      <c r="I790" s="42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>
      <c r="A791" s="8"/>
      <c r="B791" s="8"/>
      <c r="C791" s="8"/>
      <c r="D791" s="8"/>
      <c r="E791" s="42"/>
      <c r="F791" s="42"/>
      <c r="G791" s="42"/>
      <c r="H791" s="42"/>
      <c r="I791" s="42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>
      <c r="A792" s="8"/>
      <c r="B792" s="8"/>
      <c r="C792" s="8"/>
      <c r="D792" s="8"/>
      <c r="E792" s="42"/>
      <c r="F792" s="42"/>
      <c r="G792" s="42"/>
      <c r="H792" s="42"/>
      <c r="I792" s="42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>
      <c r="A793" s="8"/>
      <c r="B793" s="8"/>
      <c r="C793" s="8"/>
      <c r="D793" s="8"/>
      <c r="E793" s="42"/>
      <c r="F793" s="42"/>
      <c r="G793" s="42"/>
      <c r="H793" s="42"/>
      <c r="I793" s="42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>
      <c r="A794" s="8"/>
      <c r="B794" s="8"/>
      <c r="C794" s="8"/>
      <c r="D794" s="8"/>
      <c r="E794" s="42"/>
      <c r="F794" s="42"/>
      <c r="G794" s="42"/>
      <c r="H794" s="42"/>
      <c r="I794" s="42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>
      <c r="A795" s="8"/>
      <c r="B795" s="8"/>
      <c r="C795" s="8"/>
      <c r="D795" s="8"/>
      <c r="E795" s="42"/>
      <c r="F795" s="42"/>
      <c r="G795" s="42"/>
      <c r="H795" s="42"/>
      <c r="I795" s="42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>
      <c r="A796" s="8"/>
      <c r="B796" s="8"/>
      <c r="C796" s="8"/>
      <c r="D796" s="8"/>
      <c r="E796" s="42"/>
      <c r="F796" s="42"/>
      <c r="G796" s="42"/>
      <c r="H796" s="42"/>
      <c r="I796" s="42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>
      <c r="A797" s="8"/>
      <c r="B797" s="8"/>
      <c r="C797" s="8"/>
      <c r="D797" s="8"/>
      <c r="E797" s="42"/>
      <c r="F797" s="42"/>
      <c r="G797" s="42"/>
      <c r="H797" s="42"/>
      <c r="I797" s="42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>
      <c r="A798" s="8"/>
      <c r="B798" s="8"/>
      <c r="C798" s="8"/>
      <c r="D798" s="8"/>
      <c r="E798" s="42"/>
      <c r="F798" s="42"/>
      <c r="G798" s="42"/>
      <c r="H798" s="42"/>
      <c r="I798" s="42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>
      <c r="A799" s="8"/>
      <c r="B799" s="8"/>
      <c r="C799" s="8"/>
      <c r="D799" s="8"/>
      <c r="E799" s="42"/>
      <c r="F799" s="42"/>
      <c r="G799" s="42"/>
      <c r="H799" s="42"/>
      <c r="I799" s="42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>
      <c r="A800" s="8"/>
      <c r="B800" s="8"/>
      <c r="C800" s="8"/>
      <c r="D800" s="8"/>
      <c r="E800" s="42"/>
      <c r="F800" s="42"/>
      <c r="G800" s="42"/>
      <c r="H800" s="42"/>
      <c r="I800" s="42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>
      <c r="A801" s="8"/>
      <c r="B801" s="8"/>
      <c r="C801" s="8"/>
      <c r="D801" s="8"/>
      <c r="E801" s="42"/>
      <c r="F801" s="42"/>
      <c r="G801" s="42"/>
      <c r="H801" s="42"/>
      <c r="I801" s="42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>
      <c r="A802" s="8"/>
      <c r="B802" s="8"/>
      <c r="C802" s="8"/>
      <c r="D802" s="8"/>
      <c r="E802" s="42"/>
      <c r="F802" s="42"/>
      <c r="G802" s="42"/>
      <c r="H802" s="42"/>
      <c r="I802" s="42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>
      <c r="A803" s="8"/>
      <c r="B803" s="8"/>
      <c r="C803" s="8"/>
      <c r="D803" s="8"/>
      <c r="E803" s="42"/>
      <c r="F803" s="42"/>
      <c r="G803" s="42"/>
      <c r="H803" s="42"/>
      <c r="I803" s="42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>
      <c r="A804" s="8"/>
      <c r="B804" s="8"/>
      <c r="C804" s="8"/>
      <c r="D804" s="8"/>
      <c r="E804" s="42"/>
      <c r="F804" s="42"/>
      <c r="G804" s="42"/>
      <c r="H804" s="42"/>
      <c r="I804" s="42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>
      <c r="A805" s="8"/>
      <c r="B805" s="8"/>
      <c r="C805" s="8"/>
      <c r="D805" s="8"/>
      <c r="E805" s="42"/>
      <c r="F805" s="42"/>
      <c r="G805" s="42"/>
      <c r="H805" s="42"/>
      <c r="I805" s="42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>
      <c r="A806" s="8"/>
      <c r="B806" s="8"/>
      <c r="C806" s="8"/>
      <c r="D806" s="8"/>
      <c r="E806" s="42"/>
      <c r="F806" s="42"/>
      <c r="G806" s="42"/>
      <c r="H806" s="42"/>
      <c r="I806" s="42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>
      <c r="A807" s="8"/>
      <c r="B807" s="8"/>
      <c r="C807" s="8"/>
      <c r="D807" s="8"/>
      <c r="E807" s="42"/>
      <c r="F807" s="42"/>
      <c r="G807" s="42"/>
      <c r="H807" s="42"/>
      <c r="I807" s="42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>
      <c r="A808" s="8"/>
      <c r="B808" s="8"/>
      <c r="C808" s="8"/>
      <c r="D808" s="8"/>
      <c r="E808" s="42"/>
      <c r="F808" s="42"/>
      <c r="G808" s="42"/>
      <c r="H808" s="42"/>
      <c r="I808" s="42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>
      <c r="A809" s="8"/>
      <c r="B809" s="8"/>
      <c r="C809" s="8"/>
      <c r="D809" s="8"/>
      <c r="E809" s="42"/>
      <c r="F809" s="42"/>
      <c r="G809" s="42"/>
      <c r="H809" s="42"/>
      <c r="I809" s="42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>
      <c r="A810" s="8"/>
      <c r="B810" s="8"/>
      <c r="C810" s="8"/>
      <c r="D810" s="8"/>
      <c r="E810" s="42"/>
      <c r="F810" s="42"/>
      <c r="G810" s="42"/>
      <c r="H810" s="42"/>
      <c r="I810" s="42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>
      <c r="A811" s="8"/>
      <c r="B811" s="8"/>
      <c r="C811" s="8"/>
      <c r="D811" s="8"/>
      <c r="E811" s="42"/>
      <c r="F811" s="42"/>
      <c r="G811" s="42"/>
      <c r="H811" s="42"/>
      <c r="I811" s="42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>
      <c r="A812" s="8"/>
      <c r="B812" s="8"/>
      <c r="C812" s="8"/>
      <c r="D812" s="8"/>
      <c r="E812" s="42"/>
      <c r="F812" s="42"/>
      <c r="G812" s="42"/>
      <c r="H812" s="42"/>
      <c r="I812" s="42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>
      <c r="A813" s="8"/>
      <c r="B813" s="8"/>
      <c r="C813" s="8"/>
      <c r="D813" s="8"/>
      <c r="E813" s="42"/>
      <c r="F813" s="42"/>
      <c r="G813" s="42"/>
      <c r="H813" s="42"/>
      <c r="I813" s="42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>
      <c r="A814" s="8"/>
      <c r="B814" s="8"/>
      <c r="C814" s="8"/>
      <c r="D814" s="8"/>
      <c r="E814" s="42"/>
      <c r="F814" s="42"/>
      <c r="G814" s="42"/>
      <c r="H814" s="42"/>
      <c r="I814" s="42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>
      <c r="A815" s="8"/>
      <c r="B815" s="8"/>
      <c r="C815" s="8"/>
      <c r="D815" s="8"/>
      <c r="E815" s="42"/>
      <c r="F815" s="42"/>
      <c r="G815" s="42"/>
      <c r="H815" s="42"/>
      <c r="I815" s="42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>
      <c r="A816" s="8"/>
      <c r="B816" s="8"/>
      <c r="C816" s="8"/>
      <c r="D816" s="8"/>
      <c r="E816" s="42"/>
      <c r="F816" s="42"/>
      <c r="G816" s="42"/>
      <c r="H816" s="42"/>
      <c r="I816" s="42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>
      <c r="A817" s="8"/>
      <c r="B817" s="8"/>
      <c r="C817" s="8"/>
      <c r="D817" s="8"/>
      <c r="E817" s="42"/>
      <c r="F817" s="42"/>
      <c r="G817" s="42"/>
      <c r="H817" s="42"/>
      <c r="I817" s="42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>
      <c r="A818" s="8"/>
      <c r="B818" s="8"/>
      <c r="C818" s="8"/>
      <c r="D818" s="8"/>
      <c r="E818" s="42"/>
      <c r="F818" s="42"/>
      <c r="G818" s="42"/>
      <c r="H818" s="42"/>
      <c r="I818" s="42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>
      <c r="A819" s="8"/>
      <c r="B819" s="8"/>
      <c r="C819" s="8"/>
      <c r="D819" s="8"/>
      <c r="E819" s="42"/>
      <c r="F819" s="42"/>
      <c r="G819" s="42"/>
      <c r="H819" s="42"/>
      <c r="I819" s="42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>
      <c r="A820" s="8"/>
      <c r="B820" s="8"/>
      <c r="C820" s="8"/>
      <c r="D820" s="8"/>
      <c r="E820" s="42"/>
      <c r="F820" s="42"/>
      <c r="G820" s="42"/>
      <c r="H820" s="42"/>
      <c r="I820" s="42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>
      <c r="A821" s="8"/>
      <c r="B821" s="8"/>
      <c r="C821" s="8"/>
      <c r="D821" s="8"/>
      <c r="E821" s="42"/>
      <c r="F821" s="42"/>
      <c r="G821" s="42"/>
      <c r="H821" s="42"/>
      <c r="I821" s="42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>
      <c r="A822" s="8"/>
      <c r="B822" s="8"/>
      <c r="C822" s="8"/>
      <c r="D822" s="8"/>
      <c r="E822" s="42"/>
      <c r="F822" s="42"/>
      <c r="G822" s="42"/>
      <c r="H822" s="42"/>
      <c r="I822" s="42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>
      <c r="A823" s="8"/>
      <c r="B823" s="8"/>
      <c r="C823" s="8"/>
      <c r="D823" s="8"/>
      <c r="E823" s="42"/>
      <c r="F823" s="42"/>
      <c r="G823" s="42"/>
      <c r="H823" s="42"/>
      <c r="I823" s="42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>
      <c r="A824" s="8"/>
      <c r="B824" s="8"/>
      <c r="C824" s="8"/>
      <c r="D824" s="8"/>
      <c r="E824" s="42"/>
      <c r="F824" s="42"/>
      <c r="G824" s="42"/>
      <c r="H824" s="42"/>
      <c r="I824" s="42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>
      <c r="A825" s="8"/>
      <c r="B825" s="8"/>
      <c r="C825" s="8"/>
      <c r="D825" s="8"/>
      <c r="E825" s="42"/>
      <c r="F825" s="42"/>
      <c r="G825" s="42"/>
      <c r="H825" s="42"/>
      <c r="I825" s="42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>
      <c r="A826" s="8"/>
      <c r="B826" s="8"/>
      <c r="C826" s="8"/>
      <c r="D826" s="8"/>
      <c r="E826" s="42"/>
      <c r="F826" s="42"/>
      <c r="G826" s="42"/>
      <c r="H826" s="42"/>
      <c r="I826" s="42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>
      <c r="A827" s="8"/>
      <c r="B827" s="8"/>
      <c r="C827" s="8"/>
      <c r="D827" s="8"/>
      <c r="E827" s="42"/>
      <c r="F827" s="42"/>
      <c r="G827" s="42"/>
      <c r="H827" s="42"/>
      <c r="I827" s="42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>
      <c r="A828" s="8"/>
      <c r="B828" s="8"/>
      <c r="C828" s="8"/>
      <c r="D828" s="8"/>
      <c r="E828" s="42"/>
      <c r="F828" s="42"/>
      <c r="G828" s="42"/>
      <c r="H828" s="42"/>
      <c r="I828" s="42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>
      <c r="A829" s="8"/>
      <c r="B829" s="8"/>
      <c r="C829" s="8"/>
      <c r="D829" s="8"/>
      <c r="E829" s="42"/>
      <c r="F829" s="42"/>
      <c r="G829" s="42"/>
      <c r="H829" s="42"/>
      <c r="I829" s="42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>
      <c r="A830" s="8"/>
      <c r="B830" s="8"/>
      <c r="C830" s="8"/>
      <c r="D830" s="8"/>
      <c r="E830" s="42"/>
      <c r="F830" s="42"/>
      <c r="G830" s="42"/>
      <c r="H830" s="42"/>
      <c r="I830" s="42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>
      <c r="A831" s="8"/>
      <c r="B831" s="8"/>
      <c r="C831" s="8"/>
      <c r="D831" s="8"/>
      <c r="E831" s="42"/>
      <c r="F831" s="42"/>
      <c r="G831" s="42"/>
      <c r="H831" s="42"/>
      <c r="I831" s="42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>
      <c r="A832" s="8"/>
      <c r="B832" s="8"/>
      <c r="C832" s="8"/>
      <c r="D832" s="8"/>
      <c r="E832" s="42"/>
      <c r="F832" s="42"/>
      <c r="G832" s="42"/>
      <c r="H832" s="42"/>
      <c r="I832" s="42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>
      <c r="A833" s="8"/>
      <c r="B833" s="8"/>
      <c r="C833" s="8"/>
      <c r="D833" s="8"/>
      <c r="E833" s="42"/>
      <c r="F833" s="42"/>
      <c r="G833" s="42"/>
      <c r="H833" s="42"/>
      <c r="I833" s="42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>
      <c r="A834" s="8"/>
      <c r="B834" s="8"/>
      <c r="C834" s="8"/>
      <c r="D834" s="8"/>
      <c r="E834" s="42"/>
      <c r="F834" s="42"/>
      <c r="G834" s="42"/>
      <c r="H834" s="42"/>
      <c r="I834" s="42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>
      <c r="A835" s="8"/>
      <c r="B835" s="8"/>
      <c r="C835" s="8"/>
      <c r="D835" s="8"/>
      <c r="E835" s="42"/>
      <c r="F835" s="42"/>
      <c r="G835" s="42"/>
      <c r="H835" s="42"/>
      <c r="I835" s="42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>
      <c r="A836" s="8"/>
      <c r="B836" s="8"/>
      <c r="C836" s="8"/>
      <c r="D836" s="8"/>
      <c r="E836" s="42"/>
      <c r="F836" s="42"/>
      <c r="G836" s="42"/>
      <c r="H836" s="42"/>
      <c r="I836" s="42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>
      <c r="A837" s="8"/>
      <c r="B837" s="8"/>
      <c r="C837" s="8"/>
      <c r="D837" s="8"/>
      <c r="E837" s="42"/>
      <c r="F837" s="42"/>
      <c r="G837" s="42"/>
      <c r="H837" s="42"/>
      <c r="I837" s="42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>
      <c r="A838" s="8"/>
      <c r="B838" s="8"/>
      <c r="C838" s="8"/>
      <c r="D838" s="8"/>
      <c r="E838" s="42"/>
      <c r="F838" s="42"/>
      <c r="G838" s="42"/>
      <c r="H838" s="42"/>
      <c r="I838" s="42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>
      <c r="A839" s="8"/>
      <c r="B839" s="8"/>
      <c r="C839" s="8"/>
      <c r="D839" s="8"/>
      <c r="E839" s="42"/>
      <c r="F839" s="42"/>
      <c r="G839" s="42"/>
      <c r="H839" s="42"/>
      <c r="I839" s="42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>
      <c r="A840" s="8"/>
      <c r="B840" s="8"/>
      <c r="C840" s="8"/>
      <c r="D840" s="8"/>
      <c r="E840" s="42"/>
      <c r="F840" s="42"/>
      <c r="G840" s="42"/>
      <c r="H840" s="42"/>
      <c r="I840" s="42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>
      <c r="A841" s="8"/>
      <c r="B841" s="8"/>
      <c r="C841" s="8"/>
      <c r="D841" s="8"/>
      <c r="E841" s="42"/>
      <c r="F841" s="42"/>
      <c r="G841" s="42"/>
      <c r="H841" s="42"/>
      <c r="I841" s="42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>
      <c r="A842" s="8"/>
      <c r="B842" s="8"/>
      <c r="C842" s="8"/>
      <c r="D842" s="8"/>
      <c r="E842" s="42"/>
      <c r="F842" s="42"/>
      <c r="G842" s="42"/>
      <c r="H842" s="42"/>
      <c r="I842" s="42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>
      <c r="A843" s="8"/>
      <c r="B843" s="8"/>
      <c r="C843" s="8"/>
      <c r="D843" s="8"/>
      <c r="E843" s="42"/>
      <c r="F843" s="42"/>
      <c r="G843" s="42"/>
      <c r="H843" s="42"/>
      <c r="I843" s="42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>
      <c r="A844" s="8"/>
      <c r="B844" s="8"/>
      <c r="C844" s="8"/>
      <c r="D844" s="8"/>
      <c r="E844" s="42"/>
      <c r="F844" s="42"/>
      <c r="G844" s="42"/>
      <c r="H844" s="42"/>
      <c r="I844" s="42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>
      <c r="A845" s="8"/>
      <c r="B845" s="8"/>
      <c r="C845" s="8"/>
      <c r="D845" s="8"/>
      <c r="E845" s="42"/>
      <c r="F845" s="42"/>
      <c r="G845" s="42"/>
      <c r="H845" s="42"/>
      <c r="I845" s="42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>
      <c r="A846" s="8"/>
      <c r="B846" s="8"/>
      <c r="C846" s="8"/>
      <c r="D846" s="8"/>
      <c r="E846" s="42"/>
      <c r="F846" s="42"/>
      <c r="G846" s="42"/>
      <c r="H846" s="42"/>
      <c r="I846" s="42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>
      <c r="A847" s="8"/>
      <c r="B847" s="8"/>
      <c r="C847" s="8"/>
      <c r="D847" s="8"/>
      <c r="E847" s="42"/>
      <c r="F847" s="42"/>
      <c r="G847" s="42"/>
      <c r="H847" s="42"/>
      <c r="I847" s="42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>
      <c r="A848" s="8"/>
      <c r="B848" s="8"/>
      <c r="C848" s="8"/>
      <c r="D848" s="8"/>
      <c r="E848" s="42"/>
      <c r="F848" s="42"/>
      <c r="G848" s="42"/>
      <c r="H848" s="42"/>
      <c r="I848" s="42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>
      <c r="A849" s="8"/>
      <c r="B849" s="8"/>
      <c r="C849" s="8"/>
      <c r="D849" s="8"/>
      <c r="E849" s="42"/>
      <c r="F849" s="42"/>
      <c r="G849" s="42"/>
      <c r="H849" s="42"/>
      <c r="I849" s="42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>
      <c r="A850" s="8"/>
      <c r="B850" s="8"/>
      <c r="C850" s="8"/>
      <c r="D850" s="8"/>
      <c r="E850" s="42"/>
      <c r="F850" s="42"/>
      <c r="G850" s="42"/>
      <c r="H850" s="42"/>
      <c r="I850" s="42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>
      <c r="A851" s="8"/>
      <c r="B851" s="8"/>
      <c r="C851" s="8"/>
      <c r="D851" s="8"/>
      <c r="E851" s="42"/>
      <c r="F851" s="42"/>
      <c r="G851" s="42"/>
      <c r="H851" s="42"/>
      <c r="I851" s="42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>
      <c r="A852" s="8"/>
      <c r="B852" s="8"/>
      <c r="C852" s="8"/>
      <c r="D852" s="8"/>
      <c r="E852" s="42"/>
      <c r="F852" s="42"/>
      <c r="G852" s="42"/>
      <c r="H852" s="42"/>
      <c r="I852" s="42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>
      <c r="A853" s="8"/>
      <c r="B853" s="8"/>
      <c r="C853" s="8"/>
      <c r="D853" s="8"/>
      <c r="E853" s="42"/>
      <c r="F853" s="42"/>
      <c r="G853" s="42"/>
      <c r="H853" s="42"/>
      <c r="I853" s="42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>
      <c r="A854" s="8"/>
      <c r="B854" s="8"/>
      <c r="C854" s="8"/>
      <c r="D854" s="8"/>
      <c r="E854" s="42"/>
      <c r="F854" s="42"/>
      <c r="G854" s="42"/>
      <c r="H854" s="42"/>
      <c r="I854" s="42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>
      <c r="A855" s="8"/>
      <c r="B855" s="8"/>
      <c r="C855" s="8"/>
      <c r="D855" s="8"/>
      <c r="E855" s="42"/>
      <c r="F855" s="42"/>
      <c r="G855" s="42"/>
      <c r="H855" s="42"/>
      <c r="I855" s="42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>
      <c r="A856" s="8"/>
      <c r="B856" s="8"/>
      <c r="C856" s="8"/>
      <c r="D856" s="8"/>
      <c r="E856" s="42"/>
      <c r="F856" s="42"/>
      <c r="G856" s="42"/>
      <c r="H856" s="42"/>
      <c r="I856" s="42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>
      <c r="A857" s="8"/>
      <c r="B857" s="8"/>
      <c r="C857" s="8"/>
      <c r="D857" s="8"/>
      <c r="E857" s="42"/>
      <c r="F857" s="42"/>
      <c r="G857" s="42"/>
      <c r="H857" s="42"/>
      <c r="I857" s="42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>
      <c r="A858" s="8"/>
      <c r="B858" s="8"/>
      <c r="C858" s="8"/>
      <c r="D858" s="8"/>
      <c r="E858" s="42"/>
      <c r="F858" s="42"/>
      <c r="G858" s="42"/>
      <c r="H858" s="42"/>
      <c r="I858" s="42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>
      <c r="A859" s="8"/>
      <c r="B859" s="8"/>
      <c r="C859" s="8"/>
      <c r="D859" s="8"/>
      <c r="E859" s="42"/>
      <c r="F859" s="42"/>
      <c r="G859" s="42"/>
      <c r="H859" s="42"/>
      <c r="I859" s="42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>
      <c r="A860" s="8"/>
      <c r="B860" s="8"/>
      <c r="C860" s="8"/>
      <c r="D860" s="8"/>
      <c r="E860" s="42"/>
      <c r="F860" s="42"/>
      <c r="G860" s="42"/>
      <c r="H860" s="42"/>
      <c r="I860" s="42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>
      <c r="A861" s="8"/>
      <c r="B861" s="8"/>
      <c r="C861" s="8"/>
      <c r="D861" s="8"/>
      <c r="E861" s="42"/>
      <c r="F861" s="42"/>
      <c r="G861" s="42"/>
      <c r="H861" s="42"/>
      <c r="I861" s="42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>
      <c r="A862" s="8"/>
      <c r="B862" s="8"/>
      <c r="C862" s="8"/>
      <c r="D862" s="8"/>
      <c r="E862" s="42"/>
      <c r="F862" s="42"/>
      <c r="G862" s="42"/>
      <c r="H862" s="42"/>
      <c r="I862" s="42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>
      <c r="A863" s="8"/>
      <c r="B863" s="8"/>
      <c r="C863" s="8"/>
      <c r="D863" s="8"/>
      <c r="E863" s="42"/>
      <c r="F863" s="42"/>
      <c r="G863" s="42"/>
      <c r="H863" s="42"/>
      <c r="I863" s="42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>
      <c r="A864" s="8"/>
      <c r="B864" s="8"/>
      <c r="C864" s="8"/>
      <c r="D864" s="8"/>
      <c r="E864" s="42"/>
      <c r="F864" s="42"/>
      <c r="G864" s="42"/>
      <c r="H864" s="42"/>
      <c r="I864" s="42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>
      <c r="A865" s="8"/>
      <c r="B865" s="8"/>
      <c r="C865" s="8"/>
      <c r="D865" s="8"/>
      <c r="E865" s="42"/>
      <c r="F865" s="42"/>
      <c r="G865" s="42"/>
      <c r="H865" s="42"/>
      <c r="I865" s="42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>
      <c r="A866" s="8"/>
      <c r="B866" s="8"/>
      <c r="C866" s="8"/>
      <c r="D866" s="8"/>
      <c r="E866" s="42"/>
      <c r="F866" s="42"/>
      <c r="G866" s="42"/>
      <c r="H866" s="42"/>
      <c r="I866" s="42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>
      <c r="A867" s="8"/>
      <c r="B867" s="8"/>
      <c r="C867" s="8"/>
      <c r="D867" s="8"/>
      <c r="E867" s="42"/>
      <c r="F867" s="42"/>
      <c r="G867" s="42"/>
      <c r="H867" s="42"/>
      <c r="I867" s="42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>
      <c r="A868" s="8"/>
      <c r="B868" s="8"/>
      <c r="C868" s="8"/>
      <c r="D868" s="8"/>
      <c r="E868" s="42"/>
      <c r="F868" s="42"/>
      <c r="G868" s="42"/>
      <c r="H868" s="42"/>
      <c r="I868" s="42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>
      <c r="A869" s="8"/>
      <c r="B869" s="8"/>
      <c r="C869" s="8"/>
      <c r="D869" s="8"/>
      <c r="E869" s="42"/>
      <c r="F869" s="42"/>
      <c r="G869" s="42"/>
      <c r="H869" s="42"/>
      <c r="I869" s="42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>
      <c r="A870" s="8"/>
      <c r="B870" s="8"/>
      <c r="C870" s="8"/>
      <c r="D870" s="8"/>
      <c r="E870" s="42"/>
      <c r="F870" s="42"/>
      <c r="G870" s="42"/>
      <c r="H870" s="42"/>
      <c r="I870" s="42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>
      <c r="A871" s="8"/>
      <c r="B871" s="8"/>
      <c r="C871" s="8"/>
      <c r="D871" s="8"/>
      <c r="E871" s="42"/>
      <c r="F871" s="42"/>
      <c r="G871" s="42"/>
      <c r="H871" s="42"/>
      <c r="I871" s="42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>
      <c r="A872" s="8"/>
      <c r="B872" s="8"/>
      <c r="C872" s="8"/>
      <c r="D872" s="8"/>
      <c r="E872" s="42"/>
      <c r="F872" s="42"/>
      <c r="G872" s="42"/>
      <c r="H872" s="42"/>
      <c r="I872" s="42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>
      <c r="A873" s="8"/>
      <c r="B873" s="8"/>
      <c r="C873" s="8"/>
      <c r="D873" s="8"/>
      <c r="E873" s="42"/>
      <c r="F873" s="42"/>
      <c r="G873" s="42"/>
      <c r="H873" s="42"/>
      <c r="I873" s="42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>
      <c r="A874" s="8"/>
      <c r="B874" s="8"/>
      <c r="C874" s="8"/>
      <c r="D874" s="8"/>
      <c r="E874" s="42"/>
      <c r="F874" s="42"/>
      <c r="G874" s="42"/>
      <c r="H874" s="42"/>
      <c r="I874" s="42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>
      <c r="A875" s="8"/>
      <c r="B875" s="8"/>
      <c r="C875" s="8"/>
      <c r="D875" s="8"/>
      <c r="E875" s="42"/>
      <c r="F875" s="42"/>
      <c r="G875" s="42"/>
      <c r="H875" s="42"/>
      <c r="I875" s="42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>
      <c r="A876" s="8"/>
      <c r="B876" s="8"/>
      <c r="C876" s="8"/>
      <c r="D876" s="8"/>
      <c r="E876" s="42"/>
      <c r="F876" s="42"/>
      <c r="G876" s="42"/>
      <c r="H876" s="42"/>
      <c r="I876" s="42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>
      <c r="A877" s="8"/>
      <c r="B877" s="8"/>
      <c r="C877" s="8"/>
      <c r="D877" s="8"/>
      <c r="E877" s="42"/>
      <c r="F877" s="42"/>
      <c r="G877" s="42"/>
      <c r="H877" s="42"/>
      <c r="I877" s="42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>
      <c r="A878" s="8"/>
      <c r="B878" s="8"/>
      <c r="C878" s="8"/>
      <c r="D878" s="8"/>
      <c r="E878" s="42"/>
      <c r="F878" s="42"/>
      <c r="G878" s="42"/>
      <c r="H878" s="42"/>
      <c r="I878" s="42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>
      <c r="A879" s="8"/>
      <c r="B879" s="8"/>
      <c r="C879" s="8"/>
      <c r="D879" s="8"/>
      <c r="E879" s="42"/>
      <c r="F879" s="42"/>
      <c r="G879" s="42"/>
      <c r="H879" s="42"/>
      <c r="I879" s="42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>
      <c r="A880" s="8"/>
      <c r="B880" s="8"/>
      <c r="C880" s="8"/>
      <c r="D880" s="8"/>
      <c r="E880" s="42"/>
      <c r="F880" s="42"/>
      <c r="G880" s="42"/>
      <c r="H880" s="42"/>
      <c r="I880" s="42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>
      <c r="A881" s="8"/>
      <c r="B881" s="8"/>
      <c r="C881" s="8"/>
      <c r="D881" s="8"/>
      <c r="E881" s="42"/>
      <c r="F881" s="42"/>
      <c r="G881" s="42"/>
      <c r="H881" s="42"/>
      <c r="I881" s="42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>
      <c r="A882" s="8"/>
      <c r="B882" s="8"/>
      <c r="C882" s="8"/>
      <c r="D882" s="8"/>
      <c r="E882" s="42"/>
      <c r="F882" s="42"/>
      <c r="G882" s="42"/>
      <c r="H882" s="42"/>
      <c r="I882" s="42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>
      <c r="A883" s="8"/>
      <c r="B883" s="8"/>
      <c r="C883" s="8"/>
      <c r="D883" s="8"/>
      <c r="E883" s="42"/>
      <c r="F883" s="42"/>
      <c r="G883" s="42"/>
      <c r="H883" s="42"/>
      <c r="I883" s="42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>
      <c r="A884" s="8"/>
      <c r="B884" s="8"/>
      <c r="C884" s="8"/>
      <c r="D884" s="8"/>
      <c r="E884" s="42"/>
      <c r="F884" s="42"/>
      <c r="G884" s="42"/>
      <c r="H884" s="42"/>
      <c r="I884" s="42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>
      <c r="A885" s="8"/>
      <c r="B885" s="8"/>
      <c r="C885" s="8"/>
      <c r="D885" s="8"/>
      <c r="E885" s="42"/>
      <c r="F885" s="42"/>
      <c r="G885" s="42"/>
      <c r="H885" s="42"/>
      <c r="I885" s="42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>
      <c r="A886" s="8"/>
      <c r="B886" s="8"/>
      <c r="C886" s="8"/>
      <c r="D886" s="8"/>
      <c r="E886" s="42"/>
      <c r="F886" s="42"/>
      <c r="G886" s="42"/>
      <c r="H886" s="42"/>
      <c r="I886" s="42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>
      <c r="A887" s="8"/>
      <c r="B887" s="8"/>
      <c r="C887" s="8"/>
      <c r="D887" s="8"/>
      <c r="E887" s="42"/>
      <c r="F887" s="42"/>
      <c r="G887" s="42"/>
      <c r="H887" s="42"/>
      <c r="I887" s="42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>
      <c r="A888" s="8"/>
      <c r="B888" s="8"/>
      <c r="C888" s="8"/>
      <c r="D888" s="8"/>
      <c r="E888" s="42"/>
      <c r="F888" s="42"/>
      <c r="G888" s="42"/>
      <c r="H888" s="42"/>
      <c r="I888" s="42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>
      <c r="A889" s="8"/>
      <c r="B889" s="8"/>
      <c r="C889" s="8"/>
      <c r="D889" s="8"/>
      <c r="E889" s="42"/>
      <c r="F889" s="42"/>
      <c r="G889" s="42"/>
      <c r="H889" s="42"/>
      <c r="I889" s="42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>
      <c r="A890" s="8"/>
      <c r="B890" s="8"/>
      <c r="C890" s="8"/>
      <c r="D890" s="8"/>
      <c r="E890" s="42"/>
      <c r="F890" s="42"/>
      <c r="G890" s="42"/>
      <c r="H890" s="42"/>
      <c r="I890" s="42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>
      <c r="A891" s="8"/>
      <c r="B891" s="8"/>
      <c r="C891" s="8"/>
      <c r="D891" s="8"/>
      <c r="E891" s="42"/>
      <c r="F891" s="42"/>
      <c r="G891" s="42"/>
      <c r="H891" s="42"/>
      <c r="I891" s="42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  <row r="892">
      <c r="A892" s="8"/>
      <c r="B892" s="8"/>
      <c r="C892" s="8"/>
      <c r="D892" s="8"/>
      <c r="E892" s="42"/>
      <c r="F892" s="42"/>
      <c r="G892" s="42"/>
      <c r="H892" s="42"/>
      <c r="I892" s="42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</row>
    <row r="893">
      <c r="A893" s="8"/>
      <c r="B893" s="8"/>
      <c r="C893" s="8"/>
      <c r="D893" s="8"/>
      <c r="E893" s="42"/>
      <c r="F893" s="42"/>
      <c r="G893" s="42"/>
      <c r="H893" s="42"/>
      <c r="I893" s="42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</row>
    <row r="894">
      <c r="A894" s="8"/>
      <c r="B894" s="8"/>
      <c r="C894" s="8"/>
      <c r="D894" s="8"/>
      <c r="E894" s="42"/>
      <c r="F894" s="42"/>
      <c r="G894" s="42"/>
      <c r="H894" s="42"/>
      <c r="I894" s="42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>
      <c r="A895" s="8"/>
      <c r="B895" s="8"/>
      <c r="C895" s="8"/>
      <c r="D895" s="8"/>
      <c r="E895" s="42"/>
      <c r="F895" s="42"/>
      <c r="G895" s="42"/>
      <c r="H895" s="42"/>
      <c r="I895" s="42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>
      <c r="A896" s="8"/>
      <c r="B896" s="8"/>
      <c r="C896" s="8"/>
      <c r="D896" s="8"/>
      <c r="E896" s="42"/>
      <c r="F896" s="42"/>
      <c r="G896" s="42"/>
      <c r="H896" s="42"/>
      <c r="I896" s="42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>
      <c r="A897" s="8"/>
      <c r="B897" s="8"/>
      <c r="C897" s="8"/>
      <c r="D897" s="8"/>
      <c r="E897" s="42"/>
      <c r="F897" s="42"/>
      <c r="G897" s="42"/>
      <c r="H897" s="42"/>
      <c r="I897" s="42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>
      <c r="A898" s="8"/>
      <c r="B898" s="8"/>
      <c r="C898" s="8"/>
      <c r="D898" s="8"/>
      <c r="E898" s="42"/>
      <c r="F898" s="42"/>
      <c r="G898" s="42"/>
      <c r="H898" s="42"/>
      <c r="I898" s="42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>
      <c r="A899" s="8"/>
      <c r="B899" s="8"/>
      <c r="C899" s="8"/>
      <c r="D899" s="8"/>
      <c r="E899" s="42"/>
      <c r="F899" s="42"/>
      <c r="G899" s="42"/>
      <c r="H899" s="42"/>
      <c r="I899" s="42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</row>
    <row r="900">
      <c r="A900" s="8"/>
      <c r="B900" s="8"/>
      <c r="C900" s="8"/>
      <c r="D900" s="8"/>
      <c r="E900" s="42"/>
      <c r="F900" s="42"/>
      <c r="G900" s="42"/>
      <c r="H900" s="42"/>
      <c r="I900" s="42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</row>
    <row r="901">
      <c r="A901" s="8"/>
      <c r="B901" s="8"/>
      <c r="C901" s="8"/>
      <c r="D901" s="8"/>
      <c r="E901" s="42"/>
      <c r="F901" s="42"/>
      <c r="G901" s="42"/>
      <c r="H901" s="42"/>
      <c r="I901" s="42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>
      <c r="A902" s="8"/>
      <c r="B902" s="8"/>
      <c r="C902" s="8"/>
      <c r="D902" s="8"/>
      <c r="E902" s="42"/>
      <c r="F902" s="42"/>
      <c r="G902" s="42"/>
      <c r="H902" s="42"/>
      <c r="I902" s="42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</row>
    <row r="903">
      <c r="A903" s="8"/>
      <c r="B903" s="8"/>
      <c r="C903" s="8"/>
      <c r="D903" s="8"/>
      <c r="E903" s="42"/>
      <c r="F903" s="42"/>
      <c r="G903" s="42"/>
      <c r="H903" s="42"/>
      <c r="I903" s="42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</row>
    <row r="904">
      <c r="A904" s="8"/>
      <c r="B904" s="8"/>
      <c r="C904" s="8"/>
      <c r="D904" s="8"/>
      <c r="E904" s="42"/>
      <c r="F904" s="42"/>
      <c r="G904" s="42"/>
      <c r="H904" s="42"/>
      <c r="I904" s="42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>
      <c r="A905" s="8"/>
      <c r="B905" s="8"/>
      <c r="C905" s="8"/>
      <c r="D905" s="8"/>
      <c r="E905" s="42"/>
      <c r="F905" s="42"/>
      <c r="G905" s="42"/>
      <c r="H905" s="42"/>
      <c r="I905" s="42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>
      <c r="A906" s="8"/>
      <c r="B906" s="8"/>
      <c r="C906" s="8"/>
      <c r="D906" s="8"/>
      <c r="E906" s="42"/>
      <c r="F906" s="42"/>
      <c r="G906" s="42"/>
      <c r="H906" s="42"/>
      <c r="I906" s="42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>
      <c r="A907" s="8"/>
      <c r="B907" s="8"/>
      <c r="C907" s="8"/>
      <c r="D907" s="8"/>
      <c r="E907" s="42"/>
      <c r="F907" s="42"/>
      <c r="G907" s="42"/>
      <c r="H907" s="42"/>
      <c r="I907" s="42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>
      <c r="A908" s="8"/>
      <c r="B908" s="8"/>
      <c r="C908" s="8"/>
      <c r="D908" s="8"/>
      <c r="E908" s="42"/>
      <c r="F908" s="42"/>
      <c r="G908" s="42"/>
      <c r="H908" s="42"/>
      <c r="I908" s="42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>
      <c r="A909" s="8"/>
      <c r="B909" s="8"/>
      <c r="C909" s="8"/>
      <c r="D909" s="8"/>
      <c r="E909" s="42"/>
      <c r="F909" s="42"/>
      <c r="G909" s="42"/>
      <c r="H909" s="42"/>
      <c r="I909" s="42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</row>
    <row r="910">
      <c r="A910" s="8"/>
      <c r="B910" s="8"/>
      <c r="C910" s="8"/>
      <c r="D910" s="8"/>
      <c r="E910" s="42"/>
      <c r="F910" s="42"/>
      <c r="G910" s="42"/>
      <c r="H910" s="42"/>
      <c r="I910" s="42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</row>
    <row r="911">
      <c r="A911" s="8"/>
      <c r="B911" s="8"/>
      <c r="C911" s="8"/>
      <c r="D911" s="8"/>
      <c r="E911" s="42"/>
      <c r="F911" s="42"/>
      <c r="G911" s="42"/>
      <c r="H911" s="42"/>
      <c r="I911" s="42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>
      <c r="A912" s="8"/>
      <c r="B912" s="8"/>
      <c r="C912" s="8"/>
      <c r="D912" s="8"/>
      <c r="E912" s="42"/>
      <c r="F912" s="42"/>
      <c r="G912" s="42"/>
      <c r="H912" s="42"/>
      <c r="I912" s="42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>
      <c r="A913" s="8"/>
      <c r="B913" s="8"/>
      <c r="C913" s="8"/>
      <c r="D913" s="8"/>
      <c r="E913" s="42"/>
      <c r="F913" s="42"/>
      <c r="G913" s="42"/>
      <c r="H913" s="42"/>
      <c r="I913" s="42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</row>
    <row r="914">
      <c r="A914" s="8"/>
      <c r="B914" s="8"/>
      <c r="C914" s="8"/>
      <c r="D914" s="8"/>
      <c r="E914" s="42"/>
      <c r="F914" s="42"/>
      <c r="G914" s="42"/>
      <c r="H914" s="42"/>
      <c r="I914" s="42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</row>
    <row r="915">
      <c r="A915" s="8"/>
      <c r="B915" s="8"/>
      <c r="C915" s="8"/>
      <c r="D915" s="8"/>
      <c r="E915" s="42"/>
      <c r="F915" s="42"/>
      <c r="G915" s="42"/>
      <c r="H915" s="42"/>
      <c r="I915" s="42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</row>
    <row r="916">
      <c r="A916" s="8"/>
      <c r="B916" s="8"/>
      <c r="C916" s="8"/>
      <c r="D916" s="8"/>
      <c r="E916" s="42"/>
      <c r="F916" s="42"/>
      <c r="G916" s="42"/>
      <c r="H916" s="42"/>
      <c r="I916" s="42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>
      <c r="A917" s="8"/>
      <c r="B917" s="8"/>
      <c r="C917" s="8"/>
      <c r="D917" s="8"/>
      <c r="E917" s="42"/>
      <c r="F917" s="42"/>
      <c r="G917" s="42"/>
      <c r="H917" s="42"/>
      <c r="I917" s="42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>
      <c r="A918" s="8"/>
      <c r="B918" s="8"/>
      <c r="C918" s="8"/>
      <c r="D918" s="8"/>
      <c r="E918" s="42"/>
      <c r="F918" s="42"/>
      <c r="G918" s="42"/>
      <c r="H918" s="42"/>
      <c r="I918" s="42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>
      <c r="A919" s="8"/>
      <c r="B919" s="8"/>
      <c r="C919" s="8"/>
      <c r="D919" s="8"/>
      <c r="E919" s="42"/>
      <c r="F919" s="42"/>
      <c r="G919" s="42"/>
      <c r="H919" s="42"/>
      <c r="I919" s="42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</row>
    <row r="920">
      <c r="A920" s="8"/>
      <c r="B920" s="8"/>
      <c r="C920" s="8"/>
      <c r="D920" s="8"/>
      <c r="E920" s="42"/>
      <c r="F920" s="42"/>
      <c r="G920" s="42"/>
      <c r="H920" s="42"/>
      <c r="I920" s="42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</row>
    <row r="921">
      <c r="A921" s="8"/>
      <c r="B921" s="8"/>
      <c r="C921" s="8"/>
      <c r="D921" s="8"/>
      <c r="E921" s="42"/>
      <c r="F921" s="42"/>
      <c r="G921" s="42"/>
      <c r="H921" s="42"/>
      <c r="I921" s="42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</row>
    <row r="922">
      <c r="A922" s="8"/>
      <c r="B922" s="8"/>
      <c r="C922" s="8"/>
      <c r="D922" s="8"/>
      <c r="E922" s="42"/>
      <c r="F922" s="42"/>
      <c r="G922" s="42"/>
      <c r="H922" s="42"/>
      <c r="I922" s="42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</row>
    <row r="923">
      <c r="A923" s="8"/>
      <c r="B923" s="8"/>
      <c r="C923" s="8"/>
      <c r="D923" s="8"/>
      <c r="E923" s="42"/>
      <c r="F923" s="42"/>
      <c r="G923" s="42"/>
      <c r="H923" s="42"/>
      <c r="I923" s="42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</row>
    <row r="924">
      <c r="A924" s="8"/>
      <c r="B924" s="8"/>
      <c r="C924" s="8"/>
      <c r="D924" s="8"/>
      <c r="E924" s="42"/>
      <c r="F924" s="42"/>
      <c r="G924" s="42"/>
      <c r="H924" s="42"/>
      <c r="I924" s="42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</row>
    <row r="925">
      <c r="A925" s="8"/>
      <c r="B925" s="8"/>
      <c r="C925" s="8"/>
      <c r="D925" s="8"/>
      <c r="E925" s="42"/>
      <c r="F925" s="42"/>
      <c r="G925" s="42"/>
      <c r="H925" s="42"/>
      <c r="I925" s="42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</row>
    <row r="926">
      <c r="A926" s="8"/>
      <c r="B926" s="8"/>
      <c r="C926" s="8"/>
      <c r="D926" s="8"/>
      <c r="E926" s="42"/>
      <c r="F926" s="42"/>
      <c r="G926" s="42"/>
      <c r="H926" s="42"/>
      <c r="I926" s="42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</row>
    <row r="927">
      <c r="A927" s="8"/>
      <c r="B927" s="8"/>
      <c r="C927" s="8"/>
      <c r="D927" s="8"/>
      <c r="E927" s="42"/>
      <c r="F927" s="42"/>
      <c r="G927" s="42"/>
      <c r="H927" s="42"/>
      <c r="I927" s="42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</row>
    <row r="928">
      <c r="A928" s="8"/>
      <c r="B928" s="8"/>
      <c r="C928" s="8"/>
      <c r="D928" s="8"/>
      <c r="E928" s="42"/>
      <c r="F928" s="42"/>
      <c r="G928" s="42"/>
      <c r="H928" s="42"/>
      <c r="I928" s="42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</row>
    <row r="929">
      <c r="A929" s="8"/>
      <c r="B929" s="8"/>
      <c r="C929" s="8"/>
      <c r="D929" s="8"/>
      <c r="E929" s="42"/>
      <c r="F929" s="42"/>
      <c r="G929" s="42"/>
      <c r="H929" s="42"/>
      <c r="I929" s="42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</row>
    <row r="930">
      <c r="A930" s="8"/>
      <c r="B930" s="8"/>
      <c r="C930" s="8"/>
      <c r="D930" s="8"/>
      <c r="E930" s="42"/>
      <c r="F930" s="42"/>
      <c r="G930" s="42"/>
      <c r="H930" s="42"/>
      <c r="I930" s="42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</row>
    <row r="931">
      <c r="A931" s="8"/>
      <c r="B931" s="8"/>
      <c r="C931" s="8"/>
      <c r="D931" s="8"/>
      <c r="E931" s="42"/>
      <c r="F931" s="42"/>
      <c r="G931" s="42"/>
      <c r="H931" s="42"/>
      <c r="I931" s="42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</row>
    <row r="932">
      <c r="A932" s="8"/>
      <c r="B932" s="8"/>
      <c r="C932" s="8"/>
      <c r="D932" s="8"/>
      <c r="E932" s="42"/>
      <c r="F932" s="42"/>
      <c r="G932" s="42"/>
      <c r="H932" s="42"/>
      <c r="I932" s="42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</row>
    <row r="933">
      <c r="A933" s="8"/>
      <c r="B933" s="8"/>
      <c r="C933" s="8"/>
      <c r="D933" s="8"/>
      <c r="E933" s="42"/>
      <c r="F933" s="42"/>
      <c r="G933" s="42"/>
      <c r="H933" s="42"/>
      <c r="I933" s="42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</row>
    <row r="934">
      <c r="A934" s="8"/>
      <c r="B934" s="8"/>
      <c r="C934" s="8"/>
      <c r="D934" s="8"/>
      <c r="E934" s="42"/>
      <c r="F934" s="42"/>
      <c r="G934" s="42"/>
      <c r="H934" s="42"/>
      <c r="I934" s="42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</row>
    <row r="935">
      <c r="A935" s="8"/>
      <c r="B935" s="8"/>
      <c r="C935" s="8"/>
      <c r="D935" s="8"/>
      <c r="E935" s="42"/>
      <c r="F935" s="42"/>
      <c r="G935" s="42"/>
      <c r="H935" s="42"/>
      <c r="I935" s="42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</row>
    <row r="936">
      <c r="A936" s="8"/>
      <c r="B936" s="8"/>
      <c r="C936" s="8"/>
      <c r="D936" s="8"/>
      <c r="E936" s="42"/>
      <c r="F936" s="42"/>
      <c r="G936" s="42"/>
      <c r="H936" s="42"/>
      <c r="I936" s="42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</row>
    <row r="937">
      <c r="A937" s="8"/>
      <c r="B937" s="8"/>
      <c r="C937" s="8"/>
      <c r="D937" s="8"/>
      <c r="E937" s="42"/>
      <c r="F937" s="42"/>
      <c r="G937" s="42"/>
      <c r="H937" s="42"/>
      <c r="I937" s="42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</row>
    <row r="938">
      <c r="A938" s="8"/>
      <c r="B938" s="8"/>
      <c r="C938" s="8"/>
      <c r="D938" s="8"/>
      <c r="E938" s="42"/>
      <c r="F938" s="42"/>
      <c r="G938" s="42"/>
      <c r="H938" s="42"/>
      <c r="I938" s="42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</row>
    <row r="939">
      <c r="A939" s="8"/>
      <c r="B939" s="8"/>
      <c r="C939" s="8"/>
      <c r="D939" s="8"/>
      <c r="E939" s="42"/>
      <c r="F939" s="42"/>
      <c r="G939" s="42"/>
      <c r="H939" s="42"/>
      <c r="I939" s="42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</row>
    <row r="940">
      <c r="A940" s="8"/>
      <c r="B940" s="8"/>
      <c r="C940" s="8"/>
      <c r="D940" s="8"/>
      <c r="E940" s="42"/>
      <c r="F940" s="42"/>
      <c r="G940" s="42"/>
      <c r="H940" s="42"/>
      <c r="I940" s="42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</row>
    <row r="941">
      <c r="A941" s="8"/>
      <c r="B941" s="8"/>
      <c r="C941" s="8"/>
      <c r="D941" s="8"/>
      <c r="E941" s="42"/>
      <c r="F941" s="42"/>
      <c r="G941" s="42"/>
      <c r="H941" s="42"/>
      <c r="I941" s="42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</row>
    <row r="942">
      <c r="A942" s="8"/>
      <c r="B942" s="8"/>
      <c r="C942" s="8"/>
      <c r="D942" s="8"/>
      <c r="E942" s="42"/>
      <c r="F942" s="42"/>
      <c r="G942" s="42"/>
      <c r="H942" s="42"/>
      <c r="I942" s="42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</row>
    <row r="943">
      <c r="A943" s="8"/>
      <c r="B943" s="8"/>
      <c r="C943" s="8"/>
      <c r="D943" s="8"/>
      <c r="E943" s="42"/>
      <c r="F943" s="42"/>
      <c r="G943" s="42"/>
      <c r="H943" s="42"/>
      <c r="I943" s="42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</row>
    <row r="944">
      <c r="A944" s="8"/>
      <c r="B944" s="8"/>
      <c r="C944" s="8"/>
      <c r="D944" s="8"/>
      <c r="E944" s="42"/>
      <c r="F944" s="42"/>
      <c r="G944" s="42"/>
      <c r="H944" s="42"/>
      <c r="I944" s="42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>
      <c r="A945" s="8"/>
      <c r="B945" s="8"/>
      <c r="C945" s="8"/>
      <c r="D945" s="8"/>
      <c r="E945" s="42"/>
      <c r="F945" s="42"/>
      <c r="G945" s="42"/>
      <c r="H945" s="42"/>
      <c r="I945" s="42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>
      <c r="A946" s="8"/>
      <c r="B946" s="8"/>
      <c r="C946" s="8"/>
      <c r="D946" s="8"/>
      <c r="E946" s="42"/>
      <c r="F946" s="42"/>
      <c r="G946" s="42"/>
      <c r="H946" s="42"/>
      <c r="I946" s="42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>
      <c r="A947" s="8"/>
      <c r="B947" s="8"/>
      <c r="C947" s="8"/>
      <c r="D947" s="8"/>
      <c r="E947" s="42"/>
      <c r="F947" s="42"/>
      <c r="G947" s="42"/>
      <c r="H947" s="42"/>
      <c r="I947" s="42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</row>
    <row r="948">
      <c r="A948" s="8"/>
      <c r="B948" s="8"/>
      <c r="C948" s="8"/>
      <c r="D948" s="8"/>
      <c r="E948" s="42"/>
      <c r="F948" s="42"/>
      <c r="G948" s="42"/>
      <c r="H948" s="42"/>
      <c r="I948" s="42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</row>
    <row r="949">
      <c r="A949" s="8"/>
      <c r="B949" s="8"/>
      <c r="C949" s="8"/>
      <c r="D949" s="8"/>
      <c r="E949" s="42"/>
      <c r="F949" s="42"/>
      <c r="G949" s="42"/>
      <c r="H949" s="42"/>
      <c r="I949" s="42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>
      <c r="A950" s="8"/>
      <c r="B950" s="8"/>
      <c r="C950" s="8"/>
      <c r="D950" s="8"/>
      <c r="E950" s="42"/>
      <c r="F950" s="42"/>
      <c r="G950" s="42"/>
      <c r="H950" s="42"/>
      <c r="I950" s="42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>
      <c r="A951" s="8"/>
      <c r="B951" s="8"/>
      <c r="C951" s="8"/>
      <c r="D951" s="8"/>
      <c r="E951" s="42"/>
      <c r="F951" s="42"/>
      <c r="G951" s="42"/>
      <c r="H951" s="42"/>
      <c r="I951" s="42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>
      <c r="A952" s="8"/>
      <c r="B952" s="8"/>
      <c r="C952" s="8"/>
      <c r="D952" s="8"/>
      <c r="E952" s="42"/>
      <c r="F952" s="42"/>
      <c r="G952" s="42"/>
      <c r="H952" s="42"/>
      <c r="I952" s="42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</row>
    <row r="953">
      <c r="A953" s="8"/>
      <c r="B953" s="8"/>
      <c r="C953" s="8"/>
      <c r="D953" s="8"/>
      <c r="E953" s="42"/>
      <c r="F953" s="42"/>
      <c r="G953" s="42"/>
      <c r="H953" s="42"/>
      <c r="I953" s="42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</row>
    <row r="954">
      <c r="A954" s="8"/>
      <c r="B954" s="8"/>
      <c r="C954" s="8"/>
      <c r="D954" s="8"/>
      <c r="E954" s="42"/>
      <c r="F954" s="42"/>
      <c r="G954" s="42"/>
      <c r="H954" s="42"/>
      <c r="I954" s="42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</row>
    <row r="955">
      <c r="A955" s="8"/>
      <c r="B955" s="8"/>
      <c r="C955" s="8"/>
      <c r="D955" s="8"/>
      <c r="E955" s="42"/>
      <c r="F955" s="42"/>
      <c r="G955" s="42"/>
      <c r="H955" s="42"/>
      <c r="I955" s="42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</row>
    <row r="956">
      <c r="A956" s="8"/>
      <c r="B956" s="8"/>
      <c r="C956" s="8"/>
      <c r="D956" s="8"/>
      <c r="E956" s="42"/>
      <c r="F956" s="42"/>
      <c r="G956" s="42"/>
      <c r="H956" s="42"/>
      <c r="I956" s="42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</row>
    <row r="957">
      <c r="A957" s="8"/>
      <c r="B957" s="8"/>
      <c r="C957" s="8"/>
      <c r="D957" s="8"/>
      <c r="E957" s="42"/>
      <c r="F957" s="42"/>
      <c r="G957" s="42"/>
      <c r="H957" s="42"/>
      <c r="I957" s="42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</row>
    <row r="958">
      <c r="A958" s="8"/>
      <c r="B958" s="8"/>
      <c r="C958" s="8"/>
      <c r="D958" s="8"/>
      <c r="E958" s="42"/>
      <c r="F958" s="42"/>
      <c r="G958" s="42"/>
      <c r="H958" s="42"/>
      <c r="I958" s="42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</row>
    <row r="959">
      <c r="A959" s="8"/>
      <c r="B959" s="8"/>
      <c r="C959" s="8"/>
      <c r="D959" s="8"/>
      <c r="E959" s="42"/>
      <c r="F959" s="42"/>
      <c r="G959" s="42"/>
      <c r="H959" s="42"/>
      <c r="I959" s="42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</row>
    <row r="960">
      <c r="A960" s="8"/>
      <c r="B960" s="8"/>
      <c r="C960" s="8"/>
      <c r="D960" s="8"/>
      <c r="E960" s="42"/>
      <c r="F960" s="42"/>
      <c r="G960" s="42"/>
      <c r="H960" s="42"/>
      <c r="I960" s="42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</row>
    <row r="961">
      <c r="A961" s="8"/>
      <c r="B961" s="8"/>
      <c r="C961" s="8"/>
      <c r="D961" s="8"/>
      <c r="E961" s="42"/>
      <c r="F961" s="42"/>
      <c r="G961" s="42"/>
      <c r="H961" s="42"/>
      <c r="I961" s="42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</row>
    <row r="962">
      <c r="A962" s="8"/>
      <c r="B962" s="8"/>
      <c r="C962" s="8"/>
      <c r="D962" s="8"/>
      <c r="E962" s="42"/>
      <c r="F962" s="42"/>
      <c r="G962" s="42"/>
      <c r="H962" s="42"/>
      <c r="I962" s="42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</row>
    <row r="963">
      <c r="A963" s="8"/>
      <c r="B963" s="8"/>
      <c r="C963" s="8"/>
      <c r="D963" s="8"/>
      <c r="E963" s="42"/>
      <c r="F963" s="42"/>
      <c r="G963" s="42"/>
      <c r="H963" s="42"/>
      <c r="I963" s="42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</row>
    <row r="964">
      <c r="A964" s="8"/>
      <c r="B964" s="8"/>
      <c r="C964" s="8"/>
      <c r="D964" s="8"/>
      <c r="E964" s="42"/>
      <c r="F964" s="42"/>
      <c r="G964" s="42"/>
      <c r="H964" s="42"/>
      <c r="I964" s="42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>
      <c r="A965" s="8"/>
      <c r="B965" s="8"/>
      <c r="C965" s="8"/>
      <c r="D965" s="8"/>
      <c r="E965" s="42"/>
      <c r="F965" s="42"/>
      <c r="G965" s="42"/>
      <c r="H965" s="42"/>
      <c r="I965" s="42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>
      <c r="A966" s="8"/>
      <c r="B966" s="8"/>
      <c r="C966" s="8"/>
      <c r="D966" s="8"/>
      <c r="E966" s="42"/>
      <c r="F966" s="42"/>
      <c r="G966" s="42"/>
      <c r="H966" s="42"/>
      <c r="I966" s="42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>
      <c r="A967" s="8"/>
      <c r="B967" s="8"/>
      <c r="C967" s="8"/>
      <c r="D967" s="8"/>
      <c r="E967" s="42"/>
      <c r="F967" s="42"/>
      <c r="G967" s="42"/>
      <c r="H967" s="42"/>
      <c r="I967" s="42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>
      <c r="A968" s="8"/>
      <c r="B968" s="8"/>
      <c r="C968" s="8"/>
      <c r="D968" s="8"/>
      <c r="E968" s="42"/>
      <c r="F968" s="42"/>
      <c r="G968" s="42"/>
      <c r="H968" s="42"/>
      <c r="I968" s="42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>
      <c r="A969" s="8"/>
      <c r="B969" s="8"/>
      <c r="C969" s="8"/>
      <c r="D969" s="8"/>
      <c r="E969" s="42"/>
      <c r="F969" s="42"/>
      <c r="G969" s="42"/>
      <c r="H969" s="42"/>
      <c r="I969" s="42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>
      <c r="A970" s="8"/>
      <c r="B970" s="8"/>
      <c r="C970" s="8"/>
      <c r="D970" s="8"/>
      <c r="E970" s="42"/>
      <c r="F970" s="42"/>
      <c r="G970" s="42"/>
      <c r="H970" s="42"/>
      <c r="I970" s="42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>
      <c r="A971" s="8"/>
      <c r="B971" s="8"/>
      <c r="C971" s="8"/>
      <c r="D971" s="8"/>
      <c r="E971" s="42"/>
      <c r="F971" s="42"/>
      <c r="G971" s="42"/>
      <c r="H971" s="42"/>
      <c r="I971" s="42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>
      <c r="A972" s="8"/>
      <c r="B972" s="8"/>
      <c r="C972" s="8"/>
      <c r="D972" s="8"/>
      <c r="E972" s="42"/>
      <c r="F972" s="42"/>
      <c r="G972" s="42"/>
      <c r="H972" s="42"/>
      <c r="I972" s="42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</row>
    <row r="973">
      <c r="A973" s="8"/>
      <c r="B973" s="8"/>
      <c r="C973" s="8"/>
      <c r="D973" s="8"/>
      <c r="E973" s="42"/>
      <c r="F973" s="42"/>
      <c r="G973" s="42"/>
      <c r="H973" s="42"/>
      <c r="I973" s="42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</row>
    <row r="974">
      <c r="A974" s="8"/>
      <c r="B974" s="8"/>
      <c r="C974" s="8"/>
      <c r="D974" s="8"/>
      <c r="E974" s="42"/>
      <c r="F974" s="42"/>
      <c r="G974" s="42"/>
      <c r="H974" s="42"/>
      <c r="I974" s="42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</row>
    <row r="975">
      <c r="A975" s="8"/>
      <c r="B975" s="8"/>
      <c r="C975" s="8"/>
      <c r="D975" s="8"/>
      <c r="E975" s="42"/>
      <c r="F975" s="42"/>
      <c r="G975" s="42"/>
      <c r="H975" s="42"/>
      <c r="I975" s="42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</row>
    <row r="976">
      <c r="A976" s="8"/>
      <c r="B976" s="8"/>
      <c r="C976" s="8"/>
      <c r="D976" s="8"/>
      <c r="E976" s="42"/>
      <c r="F976" s="42"/>
      <c r="G976" s="42"/>
      <c r="H976" s="42"/>
      <c r="I976" s="42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</row>
    <row r="977">
      <c r="A977" s="8"/>
      <c r="B977" s="8"/>
      <c r="C977" s="8"/>
      <c r="D977" s="8"/>
      <c r="E977" s="42"/>
      <c r="F977" s="42"/>
      <c r="G977" s="42"/>
      <c r="H977" s="42"/>
      <c r="I977" s="42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</row>
    <row r="978">
      <c r="A978" s="8"/>
      <c r="B978" s="8"/>
      <c r="C978" s="8"/>
      <c r="D978" s="8"/>
      <c r="E978" s="42"/>
      <c r="F978" s="42"/>
      <c r="G978" s="42"/>
      <c r="H978" s="42"/>
      <c r="I978" s="42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</row>
    <row r="979">
      <c r="A979" s="8"/>
      <c r="B979" s="8"/>
      <c r="C979" s="8"/>
      <c r="D979" s="8"/>
      <c r="E979" s="42"/>
      <c r="F979" s="42"/>
      <c r="G979" s="42"/>
      <c r="H979" s="42"/>
      <c r="I979" s="42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</row>
    <row r="980">
      <c r="A980" s="8"/>
      <c r="B980" s="8"/>
      <c r="C980" s="8"/>
      <c r="D980" s="8"/>
      <c r="E980" s="42"/>
      <c r="F980" s="42"/>
      <c r="G980" s="42"/>
      <c r="H980" s="42"/>
      <c r="I980" s="42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</row>
    <row r="981">
      <c r="A981" s="8"/>
      <c r="B981" s="8"/>
      <c r="C981" s="8"/>
      <c r="D981" s="8"/>
      <c r="E981" s="42"/>
      <c r="F981" s="42"/>
      <c r="G981" s="42"/>
      <c r="H981" s="42"/>
      <c r="I981" s="42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</row>
    <row r="982">
      <c r="A982" s="8"/>
      <c r="B982" s="8"/>
      <c r="C982" s="8"/>
      <c r="D982" s="8"/>
      <c r="E982" s="42"/>
      <c r="F982" s="42"/>
      <c r="G982" s="42"/>
      <c r="H982" s="42"/>
      <c r="I982" s="42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</row>
    <row r="983">
      <c r="A983" s="8"/>
      <c r="B983" s="8"/>
      <c r="C983" s="8"/>
      <c r="D983" s="8"/>
      <c r="E983" s="42"/>
      <c r="F983" s="42"/>
      <c r="G983" s="42"/>
      <c r="H983" s="42"/>
      <c r="I983" s="42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</row>
    <row r="984">
      <c r="A984" s="8"/>
      <c r="B984" s="8"/>
      <c r="C984" s="8"/>
      <c r="D984" s="8"/>
      <c r="E984" s="42"/>
      <c r="F984" s="42"/>
      <c r="G984" s="42"/>
      <c r="H984" s="42"/>
      <c r="I984" s="42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</row>
    <row r="985">
      <c r="A985" s="8"/>
      <c r="B985" s="8"/>
      <c r="C985" s="8"/>
      <c r="D985" s="8"/>
      <c r="E985" s="42"/>
      <c r="F985" s="42"/>
      <c r="G985" s="42"/>
      <c r="H985" s="42"/>
      <c r="I985" s="42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</row>
    <row r="986">
      <c r="A986" s="8"/>
      <c r="B986" s="8"/>
      <c r="C986" s="8"/>
      <c r="D986" s="8"/>
      <c r="E986" s="42"/>
      <c r="F986" s="42"/>
      <c r="G986" s="42"/>
      <c r="H986" s="42"/>
      <c r="I986" s="42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</row>
    <row r="987">
      <c r="A987" s="8"/>
      <c r="B987" s="8"/>
      <c r="C987" s="8"/>
      <c r="D987" s="8"/>
      <c r="E987" s="42"/>
      <c r="F987" s="42"/>
      <c r="G987" s="42"/>
      <c r="H987" s="42"/>
      <c r="I987" s="42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</row>
    <row r="988">
      <c r="A988" s="8"/>
      <c r="B988" s="8"/>
      <c r="C988" s="8"/>
      <c r="D988" s="8"/>
      <c r="E988" s="42"/>
      <c r="F988" s="42"/>
      <c r="G988" s="42"/>
      <c r="H988" s="42"/>
      <c r="I988" s="42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</row>
    <row r="989">
      <c r="A989" s="8"/>
      <c r="B989" s="8"/>
      <c r="C989" s="8"/>
      <c r="D989" s="8"/>
      <c r="E989" s="42"/>
      <c r="F989" s="42"/>
      <c r="G989" s="42"/>
      <c r="H989" s="42"/>
      <c r="I989" s="42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</row>
    <row r="990">
      <c r="A990" s="8"/>
      <c r="B990" s="8"/>
      <c r="C990" s="8"/>
      <c r="D990" s="8"/>
      <c r="E990" s="42"/>
      <c r="F990" s="42"/>
      <c r="G990" s="42"/>
      <c r="H990" s="42"/>
      <c r="I990" s="42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</row>
    <row r="991">
      <c r="A991" s="8"/>
      <c r="B991" s="8"/>
      <c r="C991" s="8"/>
      <c r="D991" s="8"/>
      <c r="E991" s="42"/>
      <c r="F991" s="42"/>
      <c r="G991" s="42"/>
      <c r="H991" s="42"/>
      <c r="I991" s="42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</row>
    <row r="992">
      <c r="A992" s="8"/>
      <c r="B992" s="8"/>
      <c r="C992" s="8"/>
      <c r="D992" s="8"/>
      <c r="E992" s="42"/>
      <c r="F992" s="42"/>
      <c r="G992" s="42"/>
      <c r="H992" s="42"/>
      <c r="I992" s="42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</row>
    <row r="993">
      <c r="A993" s="8"/>
      <c r="B993" s="8"/>
      <c r="C993" s="8"/>
      <c r="D993" s="8"/>
      <c r="E993" s="42"/>
      <c r="F993" s="42"/>
      <c r="G993" s="42"/>
      <c r="H993" s="42"/>
      <c r="I993" s="42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</row>
    <row r="994">
      <c r="A994" s="8"/>
      <c r="B994" s="8"/>
      <c r="C994" s="8"/>
      <c r="D994" s="8"/>
      <c r="E994" s="42"/>
      <c r="F994" s="42"/>
      <c r="G994" s="42"/>
      <c r="H994" s="42"/>
      <c r="I994" s="42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</row>
    <row r="995">
      <c r="A995" s="8"/>
      <c r="B995" s="8"/>
      <c r="C995" s="8"/>
      <c r="D995" s="8"/>
      <c r="E995" s="42"/>
      <c r="F995" s="42"/>
      <c r="G995" s="42"/>
      <c r="H995" s="42"/>
      <c r="I995" s="42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</row>
    <row r="996">
      <c r="A996" s="8"/>
      <c r="B996" s="8"/>
      <c r="C996" s="8"/>
      <c r="D996" s="8"/>
      <c r="E996" s="42"/>
      <c r="F996" s="42"/>
      <c r="G996" s="42"/>
      <c r="H996" s="42"/>
      <c r="I996" s="42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</row>
    <row r="997">
      <c r="A997" s="8"/>
      <c r="B997" s="8"/>
      <c r="C997" s="8"/>
      <c r="D997" s="8"/>
      <c r="E997" s="42"/>
      <c r="F997" s="42"/>
      <c r="G997" s="42"/>
      <c r="H997" s="42"/>
      <c r="I997" s="42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</row>
    <row r="998">
      <c r="A998" s="8"/>
      <c r="B998" s="8"/>
      <c r="C998" s="8"/>
      <c r="D998" s="8"/>
      <c r="E998" s="42"/>
      <c r="F998" s="42"/>
      <c r="G998" s="42"/>
      <c r="H998" s="42"/>
      <c r="I998" s="42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</row>
    <row r="999">
      <c r="A999" s="8"/>
      <c r="B999" s="8"/>
      <c r="C999" s="8"/>
      <c r="D999" s="8"/>
      <c r="E999" s="42"/>
      <c r="F999" s="42"/>
      <c r="G999" s="42"/>
      <c r="H999" s="42"/>
      <c r="I999" s="42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</row>
    <row r="1000">
      <c r="A1000" s="8"/>
      <c r="B1000" s="8"/>
      <c r="C1000" s="8"/>
      <c r="D1000" s="8"/>
      <c r="E1000" s="42"/>
      <c r="F1000" s="42"/>
      <c r="G1000" s="42"/>
      <c r="H1000" s="42"/>
      <c r="I1000" s="42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</row>
    <row r="1001">
      <c r="A1001" s="8"/>
      <c r="B1001" s="8"/>
      <c r="C1001" s="8"/>
      <c r="D1001" s="8"/>
      <c r="E1001" s="42"/>
      <c r="F1001" s="42"/>
      <c r="G1001" s="42"/>
      <c r="H1001" s="42"/>
      <c r="I1001" s="42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</row>
    <row r="1002">
      <c r="A1002" s="8"/>
      <c r="B1002" s="8"/>
      <c r="C1002" s="8"/>
      <c r="D1002" s="8"/>
      <c r="E1002" s="42"/>
      <c r="F1002" s="42"/>
      <c r="G1002" s="42"/>
      <c r="H1002" s="42"/>
      <c r="I1002" s="42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</row>
    <row r="1003">
      <c r="A1003" s="8"/>
      <c r="B1003" s="8"/>
      <c r="C1003" s="8"/>
      <c r="D1003" s="8"/>
      <c r="E1003" s="42"/>
      <c r="F1003" s="42"/>
      <c r="G1003" s="42"/>
      <c r="H1003" s="42"/>
      <c r="I1003" s="42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AA1003" s="8"/>
      <c r="AB1003" s="8"/>
      <c r="AC1003" s="8"/>
      <c r="AD1003" s="8"/>
      <c r="AE1003" s="8"/>
      <c r="AF1003" s="8"/>
      <c r="AG1003" s="8"/>
      <c r="AH1003" s="8"/>
    </row>
    <row r="1004">
      <c r="A1004" s="8"/>
      <c r="B1004" s="8"/>
      <c r="C1004" s="8"/>
      <c r="D1004" s="8"/>
      <c r="E1004" s="42"/>
      <c r="F1004" s="42"/>
      <c r="G1004" s="42"/>
      <c r="H1004" s="42"/>
      <c r="I1004" s="42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AA1004" s="8"/>
      <c r="AB1004" s="8"/>
      <c r="AC1004" s="8"/>
      <c r="AD1004" s="8"/>
      <c r="AE1004" s="8"/>
      <c r="AF1004" s="8"/>
      <c r="AG1004" s="8"/>
      <c r="AH1004" s="8"/>
    </row>
  </sheetData>
  <mergeCells count="20">
    <mergeCell ref="A1:I2"/>
    <mergeCell ref="A3:A4"/>
    <mergeCell ref="B3:B4"/>
    <mergeCell ref="C3:C4"/>
    <mergeCell ref="D3:D4"/>
    <mergeCell ref="N3:Q3"/>
    <mergeCell ref="A5:A15"/>
    <mergeCell ref="A35:A42"/>
    <mergeCell ref="A44:A57"/>
    <mergeCell ref="A59:A74"/>
    <mergeCell ref="A76:A119"/>
    <mergeCell ref="A121:A164"/>
    <mergeCell ref="A166:A209"/>
    <mergeCell ref="F3:I3"/>
    <mergeCell ref="K5:K13"/>
    <mergeCell ref="K15:K22"/>
    <mergeCell ref="A17:A33"/>
    <mergeCell ref="K24:K32"/>
    <mergeCell ref="K34:K41"/>
    <mergeCell ref="K43:K54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13"/>
    <col customWidth="1" min="5" max="5" width="21.13"/>
    <col customWidth="1" min="8" max="8" width="2.13"/>
    <col customWidth="1" hidden="1" min="9" max="9" width="20.13"/>
    <col hidden="1" min="10" max="10" width="12.63"/>
    <col customWidth="1" min="11" max="11" width="49.25"/>
    <col customWidth="1" min="12" max="12" width="16.0"/>
    <col customWidth="1" min="13" max="13" width="1.88"/>
  </cols>
  <sheetData>
    <row r="1">
      <c r="B1" s="205" t="s">
        <v>1128</v>
      </c>
    </row>
    <row r="3">
      <c r="A3" s="151"/>
      <c r="B3" s="115" t="s">
        <v>389</v>
      </c>
      <c r="C3" s="115" t="s">
        <v>390</v>
      </c>
      <c r="D3" s="206" t="s">
        <v>1129</v>
      </c>
      <c r="E3" s="207" t="s">
        <v>416</v>
      </c>
      <c r="F3" s="208" t="s">
        <v>417</v>
      </c>
      <c r="G3" s="209" t="s">
        <v>418</v>
      </c>
      <c r="H3" s="210"/>
      <c r="I3" s="211" t="s">
        <v>419</v>
      </c>
      <c r="J3" s="208" t="s">
        <v>420</v>
      </c>
      <c r="K3" s="207" t="s">
        <v>402</v>
      </c>
      <c r="L3" s="212" t="s">
        <v>268</v>
      </c>
      <c r="M3" s="210"/>
      <c r="N3" s="213" t="s">
        <v>421</v>
      </c>
      <c r="O3" s="213" t="s">
        <v>422</v>
      </c>
      <c r="P3" s="213" t="s">
        <v>423</v>
      </c>
      <c r="Q3" s="151"/>
      <c r="R3" s="151"/>
      <c r="S3" s="151"/>
      <c r="T3" s="151"/>
    </row>
    <row r="4">
      <c r="A4" s="151"/>
      <c r="B4" s="47"/>
      <c r="C4" s="47"/>
      <c r="D4" s="50"/>
      <c r="E4" s="47"/>
      <c r="F4" s="47"/>
      <c r="G4" s="215"/>
      <c r="H4" s="210"/>
      <c r="I4" s="216"/>
      <c r="J4" s="47"/>
      <c r="K4" s="47"/>
      <c r="L4" s="50"/>
      <c r="M4" s="210"/>
      <c r="N4" s="50"/>
      <c r="O4" s="50"/>
      <c r="P4" s="50"/>
      <c r="Q4" s="151"/>
      <c r="R4" s="151"/>
      <c r="S4" s="151"/>
      <c r="T4" s="151"/>
    </row>
    <row r="5">
      <c r="A5" s="151"/>
      <c r="B5" s="50"/>
      <c r="C5" s="50"/>
      <c r="D5" s="217">
        <v>2031.0</v>
      </c>
      <c r="E5" s="50"/>
      <c r="F5" s="50"/>
      <c r="G5" s="218"/>
      <c r="H5" s="210"/>
      <c r="I5" s="48"/>
      <c r="J5" s="50"/>
      <c r="K5" s="50"/>
      <c r="L5" s="266">
        <v>2031.0</v>
      </c>
      <c r="M5" s="210"/>
      <c r="N5" s="220">
        <v>2021.0</v>
      </c>
      <c r="O5" s="117"/>
      <c r="P5" s="118"/>
      <c r="Q5" s="151"/>
      <c r="R5" s="151"/>
      <c r="S5" s="151"/>
      <c r="T5" s="151"/>
    </row>
    <row r="6">
      <c r="B6" s="194" t="s">
        <v>406</v>
      </c>
      <c r="C6" s="18" t="s">
        <v>382</v>
      </c>
      <c r="D6" s="20">
        <v>77857.0</v>
      </c>
      <c r="E6" s="221" t="s">
        <v>1130</v>
      </c>
      <c r="F6" s="150">
        <f>- 6089473 + 3038 *2031</f>
        <v>80705</v>
      </c>
      <c r="G6" s="222">
        <f t="shared" ref="G6:G10" si="1">ABS(D6-F6)/D6</f>
        <v>0.03657988363</v>
      </c>
      <c r="H6" s="210"/>
      <c r="I6" s="232" t="s">
        <v>1131</v>
      </c>
      <c r="J6" s="101">
        <f>- 538348 + 270.9 *2031</f>
        <v>11849.9</v>
      </c>
      <c r="K6" s="232" t="s">
        <v>1132</v>
      </c>
      <c r="L6" s="100">
        <f>-848491 + 425.7 *2031- 0.0526*77857 </f>
        <v>12010.4218</v>
      </c>
      <c r="M6" s="210"/>
      <c r="N6" s="162">
        <v>9613.0</v>
      </c>
      <c r="O6" s="56">
        <f>  -848491 + 425.7 *2021- 0.0526*46138</f>
        <v>9421.8412</v>
      </c>
      <c r="P6" s="267">
        <f t="shared" ref="P6:P8" si="2">(N6-O6)/N6</f>
        <v>0.01988544679</v>
      </c>
    </row>
    <row r="7">
      <c r="B7" s="47"/>
      <c r="C7" s="28" t="s">
        <v>378</v>
      </c>
      <c r="D7" s="166">
        <v>62450.0</v>
      </c>
      <c r="E7" s="221" t="s">
        <v>1133</v>
      </c>
      <c r="F7" s="150">
        <f> - 5090262 + 2541 *2031</f>
        <v>70509</v>
      </c>
      <c r="G7" s="222">
        <f t="shared" si="1"/>
        <v>0.1290472378</v>
      </c>
      <c r="H7" s="210"/>
      <c r="I7" s="232" t="s">
        <v>1134</v>
      </c>
      <c r="J7" s="101">
        <f>- 1674893 + 835.1 *2031</f>
        <v>21195.1</v>
      </c>
      <c r="K7" s="232" t="s">
        <v>1135</v>
      </c>
      <c r="L7" s="100">
        <f>-1777849 + 886.4 *2031- 0.0182 *62450</f>
        <v>21292.81</v>
      </c>
      <c r="M7" s="210"/>
      <c r="N7" s="166">
        <v>12876.0</v>
      </c>
      <c r="O7" s="101">
        <f>   -1777849 + 886.4 *2021- 0.0182 *60885</f>
        <v>12457.293</v>
      </c>
      <c r="P7" s="267">
        <f t="shared" si="2"/>
        <v>0.03251840634</v>
      </c>
    </row>
    <row r="8">
      <c r="B8" s="47"/>
      <c r="C8" s="28" t="s">
        <v>374</v>
      </c>
      <c r="D8" s="20">
        <v>158196.0</v>
      </c>
      <c r="E8" s="268" t="s">
        <v>1136</v>
      </c>
      <c r="F8" s="17">
        <f>- 11935278 + 5960 *2031</f>
        <v>169482</v>
      </c>
      <c r="G8" s="269">
        <f t="shared" si="1"/>
        <v>0.07134187969</v>
      </c>
      <c r="H8" s="270"/>
      <c r="I8" s="271" t="s">
        <v>1137</v>
      </c>
      <c r="J8" s="236">
        <f>- 1290979 + 644.3 *2031</f>
        <v>17594.3</v>
      </c>
      <c r="K8" s="232" t="s">
        <v>1138</v>
      </c>
      <c r="L8" s="100">
        <f> -1409045 + 703 *2031- 0.0094 *158196</f>
        <v>17260.9576</v>
      </c>
      <c r="M8" s="210"/>
      <c r="N8" s="20">
        <v>11446.0</v>
      </c>
      <c r="O8" s="101">
        <f>    -1409045 + 703 *2021- 0.0094 *130205</f>
        <v>10494.073</v>
      </c>
      <c r="P8" s="267">
        <f t="shared" si="2"/>
        <v>0.08316678316</v>
      </c>
    </row>
    <row r="9">
      <c r="B9" s="47"/>
      <c r="C9" s="28" t="s">
        <v>381</v>
      </c>
      <c r="D9" s="20">
        <v>81183.0</v>
      </c>
      <c r="E9" s="268" t="s">
        <v>1139</v>
      </c>
      <c r="F9" s="17">
        <f>- 5909021 + 2955 *2031</f>
        <v>92584</v>
      </c>
      <c r="G9" s="222">
        <f t="shared" si="1"/>
        <v>0.1404358055</v>
      </c>
      <c r="H9" s="270"/>
      <c r="I9" s="271" t="s">
        <v>1140</v>
      </c>
      <c r="J9" s="236">
        <f>- 1076125 + 536.3 *2031</f>
        <v>13100.3</v>
      </c>
      <c r="K9" s="232" t="s">
        <v>1141</v>
      </c>
      <c r="L9" s="100">
        <f>-973274 + 484.9 *2031+ 0.0178 *81183</f>
        <v>13002.9574</v>
      </c>
      <c r="M9" s="210"/>
      <c r="N9" s="20">
        <v>7260.0</v>
      </c>
      <c r="O9" s="101">
        <f>    -973274 + 484.9 *2021+ 0.0178 *79682</f>
        <v>8127.2396</v>
      </c>
      <c r="P9" s="267">
        <f>ABS(N9-O9)/N9</f>
        <v>0.1194544904</v>
      </c>
    </row>
    <row r="10">
      <c r="B10" s="50"/>
      <c r="C10" s="28" t="s">
        <v>376</v>
      </c>
      <c r="D10" s="166">
        <v>53852.0</v>
      </c>
      <c r="E10" s="272" t="s">
        <v>1142</v>
      </c>
      <c r="F10" s="124">
        <f> - 4808577 + 2397 *2031</f>
        <v>59730</v>
      </c>
      <c r="G10" s="222">
        <f t="shared" si="1"/>
        <v>0.1091510065</v>
      </c>
      <c r="H10" s="270"/>
      <c r="I10" s="273" t="s">
        <v>1143</v>
      </c>
      <c r="J10" s="274">
        <f>- 1874339 + 934.7 *2031</f>
        <v>24036.7</v>
      </c>
      <c r="K10" s="275" t="s">
        <v>1144</v>
      </c>
      <c r="L10" s="103">
        <f> -1657007 + 826 *2031+ 0.0458 *53852</f>
        <v>23065.4216</v>
      </c>
      <c r="M10" s="210"/>
      <c r="N10" s="166">
        <v>16034.0</v>
      </c>
      <c r="O10" s="101">
        <f>     -1657007 + 826 *2021+ 0.0458 *53457</f>
        <v>14787.3306</v>
      </c>
      <c r="P10" s="267">
        <f>(N10-O10)/N10</f>
        <v>0.07775161532</v>
      </c>
    </row>
    <row r="11">
      <c r="B11" s="196"/>
      <c r="C11" s="108"/>
      <c r="D11" s="276"/>
      <c r="E11" s="277"/>
      <c r="F11" s="197"/>
      <c r="G11" s="197"/>
      <c r="H11" s="270"/>
      <c r="I11" s="278"/>
      <c r="J11" s="110"/>
      <c r="K11" s="278"/>
      <c r="L11" s="109"/>
      <c r="M11" s="210"/>
      <c r="N11" s="197"/>
      <c r="O11" s="110"/>
      <c r="P11" s="197"/>
    </row>
    <row r="12">
      <c r="B12" s="194" t="s">
        <v>407</v>
      </c>
      <c r="C12" s="28" t="s">
        <v>380</v>
      </c>
      <c r="D12" s="166">
        <v>154240.0</v>
      </c>
      <c r="E12" s="279" t="s">
        <v>1145</v>
      </c>
      <c r="F12" s="280">
        <f>- 14483883 + 7203 *2031</f>
        <v>145410</v>
      </c>
      <c r="G12" s="222">
        <f t="shared" ref="G12:G15" si="3">ABS(D12-F12)/D12</f>
        <v>0.05724844398</v>
      </c>
      <c r="H12" s="270"/>
      <c r="I12" s="281" t="s">
        <v>1146</v>
      </c>
      <c r="J12" s="282">
        <f>- 1802423 + 897.7 *2031</f>
        <v>20805.7</v>
      </c>
      <c r="K12" s="283" t="s">
        <v>1147</v>
      </c>
      <c r="L12" s="104">
        <f>-1752298 + 872.8 *2031+ 0.00322 *154240</f>
        <v>20855.4528</v>
      </c>
      <c r="M12" s="210"/>
      <c r="N12" s="166">
        <v>11900.0</v>
      </c>
      <c r="O12" s="101">
        <f>  -1752298 + 872.8 *2021 + 0.00322 *51364</f>
        <v>11796.19208</v>
      </c>
      <c r="P12" s="267">
        <f>(N12-O12)/N12</f>
        <v>0.008723354622</v>
      </c>
    </row>
    <row r="13">
      <c r="B13" s="47"/>
      <c r="C13" s="28" t="s">
        <v>373</v>
      </c>
      <c r="D13" s="166">
        <v>22417.0</v>
      </c>
      <c r="E13" s="268" t="s">
        <v>1148</v>
      </c>
      <c r="F13" s="17">
        <f> - 1543375 + 771.4*2031</f>
        <v>23338.4</v>
      </c>
      <c r="G13" s="269">
        <f t="shared" si="3"/>
        <v>0.04110273453</v>
      </c>
      <c r="H13" s="270"/>
      <c r="I13" s="271" t="s">
        <v>1149</v>
      </c>
      <c r="J13" s="236">
        <f>- 3611830 + 1797 *2031</f>
        <v>37877</v>
      </c>
      <c r="K13" s="283" t="s">
        <v>1150</v>
      </c>
      <c r="L13" s="100">
        <f>  -3850363 + 1916 *2031 - 0.159 *22417</f>
        <v>37468.697</v>
      </c>
      <c r="M13" s="210"/>
      <c r="N13" s="166">
        <v>19000.0</v>
      </c>
      <c r="O13" s="101">
        <f>  -3850363 + 1916 *2021 - 0.159 *20814</f>
        <v>18563.574</v>
      </c>
      <c r="P13" s="267">
        <f>ABS(N13-O13)/N13</f>
        <v>0.02296978947</v>
      </c>
    </row>
    <row r="14">
      <c r="B14" s="47"/>
      <c r="C14" s="28" t="s">
        <v>374</v>
      </c>
      <c r="D14" s="166">
        <v>149250.0</v>
      </c>
      <c r="E14" s="268" t="s">
        <v>1151</v>
      </c>
      <c r="F14" s="17">
        <f>- 9489275 + 4747 *2031</f>
        <v>151882</v>
      </c>
      <c r="G14" s="222">
        <f t="shared" si="3"/>
        <v>0.01763484087</v>
      </c>
      <c r="H14" s="270"/>
      <c r="I14" s="271" t="s">
        <v>1152</v>
      </c>
      <c r="J14" s="236">
        <f>- 2392318 + 1191 *2031</f>
        <v>26603</v>
      </c>
      <c r="K14" s="232" t="s">
        <v>1153</v>
      </c>
      <c r="L14" s="100">
        <f> -2223308 + 1106.4 *2031+ 0.01801*149250 </f>
        <v>26478.3925</v>
      </c>
      <c r="M14" s="210"/>
      <c r="N14" s="166">
        <v>14500.0</v>
      </c>
      <c r="O14" s="101">
        <f>  -2223308 + 1106.4 *2021+ 0.01801*85221</f>
        <v>14261.23021</v>
      </c>
      <c r="P14" s="267">
        <f t="shared" ref="P14:P15" si="4">(N14-O14)/N14</f>
        <v>0.01646688207</v>
      </c>
    </row>
    <row r="15">
      <c r="B15" s="50"/>
      <c r="C15" s="28" t="s">
        <v>377</v>
      </c>
      <c r="D15" s="20">
        <v>103351.0</v>
      </c>
      <c r="E15" s="272" t="s">
        <v>1154</v>
      </c>
      <c r="F15" s="124">
        <f>- 8108064 + 4036 *2031</f>
        <v>89052</v>
      </c>
      <c r="G15" s="222">
        <f t="shared" si="3"/>
        <v>0.1383537653</v>
      </c>
      <c r="H15" s="270"/>
      <c r="I15" s="273" t="s">
        <v>1155</v>
      </c>
      <c r="J15" s="274">
        <f>- 1769464 + 881.6 *2031</f>
        <v>21065.6</v>
      </c>
      <c r="K15" s="275" t="s">
        <v>1156</v>
      </c>
      <c r="L15" s="103">
        <f>-1674368 + 834.3 *2031+ 0.0118 *103351 </f>
        <v>21314.8418</v>
      </c>
      <c r="M15" s="210"/>
      <c r="N15" s="20">
        <v>12670.0</v>
      </c>
      <c r="O15" s="101">
        <f>   -1674368 + 834.3 *2021 +0.0118 *36580</f>
        <v>12183.944</v>
      </c>
      <c r="P15" s="267">
        <f t="shared" si="4"/>
        <v>0.03836274665</v>
      </c>
    </row>
    <row r="16">
      <c r="B16" s="196"/>
      <c r="C16" s="108"/>
      <c r="D16" s="276"/>
      <c r="E16" s="277"/>
      <c r="F16" s="197"/>
      <c r="G16" s="197"/>
      <c r="H16" s="270"/>
      <c r="I16" s="278"/>
      <c r="J16" s="110"/>
      <c r="K16" s="278"/>
      <c r="L16" s="109"/>
      <c r="M16" s="210"/>
      <c r="N16" s="197"/>
      <c r="O16" s="110"/>
      <c r="P16" s="197"/>
    </row>
    <row r="17">
      <c r="B17" s="194" t="s">
        <v>408</v>
      </c>
      <c r="C17" s="28" t="s">
        <v>388</v>
      </c>
      <c r="D17" s="166">
        <v>8948.0</v>
      </c>
      <c r="E17" s="272" t="s">
        <v>1157</v>
      </c>
      <c r="F17" s="284">
        <f> - 532073 + 266.5 *2031</f>
        <v>9188.5</v>
      </c>
      <c r="G17" s="222">
        <f t="shared" ref="G17:G21" si="5">ABS(D17-F17)/D17</f>
        <v>0.02687751453</v>
      </c>
      <c r="H17" s="270"/>
      <c r="I17" s="273" t="s">
        <v>1158</v>
      </c>
      <c r="J17" s="285">
        <f> - 273912 + 136.8 *2031</f>
        <v>3928.8</v>
      </c>
      <c r="K17" s="275" t="s">
        <v>1159</v>
      </c>
      <c r="L17" s="105">
        <f> -399897 + 200 *2031-0.2561 *8948</f>
        <v>4011.4172</v>
      </c>
      <c r="M17" s="210"/>
      <c r="N17" s="166">
        <v>2400.0</v>
      </c>
      <c r="O17" s="101">
        <f>   -399897 + 200 *2021 -0.2561 *7819</f>
        <v>2300.5541</v>
      </c>
      <c r="P17" s="267">
        <f t="shared" ref="P17:P18" si="6">(N17-O17)/N17</f>
        <v>0.04143579167</v>
      </c>
    </row>
    <row r="18">
      <c r="B18" s="47"/>
      <c r="C18" s="28" t="s">
        <v>385</v>
      </c>
      <c r="D18" s="166">
        <v>22027.0</v>
      </c>
      <c r="E18" s="272" t="s">
        <v>1160</v>
      </c>
      <c r="F18" s="284">
        <f> - 1323120 + 662.9 *2031</f>
        <v>23229.9</v>
      </c>
      <c r="G18" s="222">
        <f t="shared" si="5"/>
        <v>0.05461025106</v>
      </c>
      <c r="H18" s="270"/>
      <c r="I18" s="273" t="s">
        <v>1161</v>
      </c>
      <c r="J18" s="285">
        <f> - 427463 + 213.7 *2031</f>
        <v>6561.7</v>
      </c>
      <c r="K18" s="275" t="s">
        <v>1162</v>
      </c>
      <c r="L18" s="105">
        <f> -602662 + 301 *2031-0.132 *22027</f>
        <v>5761.436</v>
      </c>
      <c r="M18" s="210"/>
      <c r="N18" s="166">
        <v>3300.0</v>
      </c>
      <c r="O18" s="101">
        <f>   -602662 + 301 *2021 -0.132 *20434</f>
        <v>2961.712</v>
      </c>
      <c r="P18" s="267">
        <f t="shared" si="6"/>
        <v>0.1025115152</v>
      </c>
    </row>
    <row r="19">
      <c r="B19" s="47"/>
      <c r="C19" s="28" t="s">
        <v>374</v>
      </c>
      <c r="D19" s="166">
        <v>71313.0</v>
      </c>
      <c r="E19" s="272" t="s">
        <v>1163</v>
      </c>
      <c r="F19" s="284">
        <f> - 2665072 + 1350 *2031</f>
        <v>76778</v>
      </c>
      <c r="G19" s="222">
        <f t="shared" si="5"/>
        <v>0.0766339938</v>
      </c>
      <c r="H19" s="270"/>
      <c r="I19" s="273" t="s">
        <v>1164</v>
      </c>
      <c r="J19" s="285">
        <f> - 235667 + 118.3 *2031</f>
        <v>4600.3</v>
      </c>
      <c r="K19" s="275" t="s">
        <v>1165</v>
      </c>
      <c r="L19" s="105">
        <f> -215291 + 107.9 *2031+0.0086 *71313</f>
        <v>4467.1918</v>
      </c>
      <c r="M19" s="210"/>
      <c r="N19" s="166">
        <v>3075.0</v>
      </c>
      <c r="O19" s="56">
        <f>-215291 + 107.9 *2021+0.0086 *71324</f>
        <v>3388.2864</v>
      </c>
      <c r="P19" s="267">
        <f t="shared" ref="P19:P20" si="7">ABS(N19-O19)/N19</f>
        <v>0.1018817561</v>
      </c>
    </row>
    <row r="20">
      <c r="B20" s="47"/>
      <c r="C20" s="18" t="s">
        <v>386</v>
      </c>
      <c r="D20" s="166">
        <v>12534.0</v>
      </c>
      <c r="E20" s="272" t="s">
        <v>1166</v>
      </c>
      <c r="F20" s="284">
        <f> - 759234 + 380.6 *2031</f>
        <v>13764.6</v>
      </c>
      <c r="G20" s="222">
        <f t="shared" si="5"/>
        <v>0.09818094782</v>
      </c>
      <c r="H20" s="270"/>
      <c r="I20" s="273" t="s">
        <v>1167</v>
      </c>
      <c r="J20" s="285">
        <f> - 219274 + 110.2 *2031</f>
        <v>4542.2</v>
      </c>
      <c r="K20" s="275" t="s">
        <v>1168</v>
      </c>
      <c r="L20" s="105">
        <f> -230700 + 115.84 *2031-0.0028 *12534</f>
        <v>4535.9448</v>
      </c>
      <c r="M20" s="210"/>
      <c r="N20" s="166">
        <v>3300.0</v>
      </c>
      <c r="O20" s="56">
        <f>-230700 + 115.84 *2021-0.0028 *12535</f>
        <v>3377.542</v>
      </c>
      <c r="P20" s="267">
        <f t="shared" si="7"/>
        <v>0.02349757576</v>
      </c>
    </row>
    <row r="21">
      <c r="B21" s="50"/>
      <c r="C21" s="28" t="s">
        <v>387</v>
      </c>
      <c r="D21" s="166">
        <v>21527.0</v>
      </c>
      <c r="E21" s="272" t="s">
        <v>1169</v>
      </c>
      <c r="F21" s="284">
        <f> - 1818622 + 907.1 *2031</f>
        <v>23698.1</v>
      </c>
      <c r="G21" s="222">
        <f t="shared" si="5"/>
        <v>0.1008547406</v>
      </c>
      <c r="H21" s="270"/>
      <c r="I21" s="273" t="s">
        <v>1170</v>
      </c>
      <c r="J21" s="285">
        <f> - 180237 + 90.83 *2031</f>
        <v>4238.73</v>
      </c>
      <c r="K21" s="275" t="s">
        <v>1171</v>
      </c>
      <c r="L21" s="105">
        <f> -189553 + 95.47 *2031-0.0044 *21527</f>
        <v>4251.8512</v>
      </c>
      <c r="M21" s="210"/>
      <c r="N21" s="166">
        <v>3300.0</v>
      </c>
      <c r="O21" s="101">
        <f>-189553 + 95.47 *2021-0.0044 *21503</f>
        <v>3297.2568</v>
      </c>
      <c r="P21" s="267">
        <f>(N21-O21)/N21</f>
        <v>0.0008312727273</v>
      </c>
    </row>
    <row r="22">
      <c r="B22" s="199"/>
      <c r="C22" s="108"/>
      <c r="D22" s="276"/>
      <c r="E22" s="277"/>
      <c r="F22" s="197"/>
      <c r="G22" s="197"/>
      <c r="H22" s="210"/>
      <c r="I22" s="278"/>
      <c r="J22" s="110"/>
      <c r="K22" s="278"/>
      <c r="L22" s="112"/>
      <c r="M22" s="210"/>
      <c r="N22" s="197"/>
      <c r="O22" s="110"/>
      <c r="P22" s="197"/>
    </row>
    <row r="23">
      <c r="B23" s="194" t="s">
        <v>409</v>
      </c>
      <c r="C23" s="28" t="s">
        <v>375</v>
      </c>
      <c r="D23" s="20">
        <v>12273.0</v>
      </c>
      <c r="E23" s="286" t="s">
        <v>1172</v>
      </c>
      <c r="F23" s="287">
        <f>-1005507 + 502*2031</f>
        <v>14055</v>
      </c>
      <c r="G23" s="222">
        <f t="shared" ref="G23:G27" si="8">ABS(D23-F23)/D23</f>
        <v>0.1451967734</v>
      </c>
      <c r="H23" s="210"/>
      <c r="I23" s="283" t="s">
        <v>1173</v>
      </c>
      <c r="J23" s="288">
        <f t="shared" ref="J23:J24" si="9"> -1139192 + 570.8*2031</f>
        <v>20102.8</v>
      </c>
      <c r="K23" s="283" t="s">
        <v>1174</v>
      </c>
      <c r="L23" s="104">
        <f>        -1055146 + 529*2031 + 0.089*12273</f>
        <v>20345.297</v>
      </c>
      <c r="M23" s="210"/>
      <c r="N23" s="20">
        <v>15000.0</v>
      </c>
      <c r="O23" s="233">
        <f> -1055146 + 529*2021 + 0.089*12313</f>
        <v>15058.857</v>
      </c>
      <c r="P23" s="267">
        <f>ABS(N23-O23)/N23</f>
        <v>0.0039238</v>
      </c>
    </row>
    <row r="24">
      <c r="B24" s="47"/>
      <c r="C24" s="28" t="s">
        <v>379</v>
      </c>
      <c r="D24" s="20">
        <v>94696.0</v>
      </c>
      <c r="E24" s="221" t="s">
        <v>1175</v>
      </c>
      <c r="F24" s="150">
        <f> -6879493 + 3443*2031</f>
        <v>113240</v>
      </c>
      <c r="G24" s="222">
        <f t="shared" si="8"/>
        <v>0.1958266453</v>
      </c>
      <c r="H24" s="210"/>
      <c r="I24" s="232" t="s">
        <v>1173</v>
      </c>
      <c r="J24" s="288">
        <f t="shared" si="9"/>
        <v>20102.8</v>
      </c>
      <c r="K24" s="232" t="s">
        <v>1176</v>
      </c>
      <c r="L24" s="100">
        <f> -1165905 + 584.1*2031 - 0.0032*94696</f>
        <v>20099.0728</v>
      </c>
      <c r="M24" s="210"/>
      <c r="N24" s="20">
        <v>15000.0</v>
      </c>
      <c r="O24" s="101">
        <f> -1165905 + 584.1*2021 - 0.0032*93998</f>
        <v>14260.3064</v>
      </c>
      <c r="P24" s="267">
        <f>(N24-O24)/N24</f>
        <v>0.04931290667</v>
      </c>
    </row>
    <row r="25">
      <c r="B25" s="47"/>
      <c r="C25" s="28" t="s">
        <v>384</v>
      </c>
      <c r="D25" s="166">
        <v>17374.0</v>
      </c>
      <c r="E25" s="221" t="s">
        <v>1177</v>
      </c>
      <c r="F25" s="150">
        <f> -650289 + 330.2*2031</f>
        <v>20347.2</v>
      </c>
      <c r="G25" s="222">
        <f t="shared" si="8"/>
        <v>0.1711292736</v>
      </c>
      <c r="H25" s="210"/>
      <c r="I25" s="232" t="s">
        <v>1178</v>
      </c>
      <c r="J25" s="101">
        <f t="shared" ref="J25:J26" si="10"> -412122 + 207.8*2031</f>
        <v>9919.8</v>
      </c>
      <c r="K25" s="232" t="s">
        <v>1179</v>
      </c>
      <c r="L25" s="100">
        <f> -405844 + 204.5*2031 + 0.0217*17374</f>
        <v>9872.5158</v>
      </c>
      <c r="M25" s="210"/>
      <c r="N25" s="166">
        <v>7700.0</v>
      </c>
      <c r="O25" s="101">
        <f> -405844 + 204.5*2021 + 0.0217*17331</f>
        <v>7826.5827</v>
      </c>
      <c r="P25" s="267">
        <f t="shared" ref="P25:P26" si="11">ABS(N25-O25)/N25</f>
        <v>0.01643931169</v>
      </c>
    </row>
    <row r="26">
      <c r="B26" s="47"/>
      <c r="C26" s="28" t="s">
        <v>383</v>
      </c>
      <c r="D26" s="166">
        <v>18600.0</v>
      </c>
      <c r="E26" s="221" t="s">
        <v>1180</v>
      </c>
      <c r="F26" s="150">
        <f> - 1658054 + 826.5*2031</f>
        <v>20567.5</v>
      </c>
      <c r="G26" s="222">
        <f t="shared" si="8"/>
        <v>0.1057795699</v>
      </c>
      <c r="H26" s="210"/>
      <c r="I26" s="232" t="s">
        <v>1178</v>
      </c>
      <c r="J26" s="101">
        <f t="shared" si="10"/>
        <v>9919.8</v>
      </c>
      <c r="K26" s="232" t="s">
        <v>1181</v>
      </c>
      <c r="L26" s="100">
        <f> -432623 + 218*2031 - 0.0076*18600</f>
        <v>9993.64</v>
      </c>
      <c r="M26" s="210"/>
      <c r="N26" s="166">
        <v>7700.0</v>
      </c>
      <c r="O26" s="233">
        <f> -432623 + 218*2021 - 0.0076*18578</f>
        <v>7813.8072</v>
      </c>
      <c r="P26" s="267">
        <f t="shared" si="11"/>
        <v>0.01478015584</v>
      </c>
    </row>
    <row r="27">
      <c r="B27" s="50"/>
      <c r="C27" s="28" t="s">
        <v>374</v>
      </c>
      <c r="D27" s="166">
        <v>83033.0</v>
      </c>
      <c r="E27" s="221" t="s">
        <v>1182</v>
      </c>
      <c r="F27" s="150">
        <f> -2659742 + 1354*2031</f>
        <v>90232</v>
      </c>
      <c r="G27" s="222">
        <f t="shared" si="8"/>
        <v>0.08670046849</v>
      </c>
      <c r="H27" s="210"/>
      <c r="I27" s="232" t="s">
        <v>1183</v>
      </c>
      <c r="J27" s="101">
        <f> -775657 + 389.3*2031</f>
        <v>15011.3</v>
      </c>
      <c r="K27" s="232" t="s">
        <v>1184</v>
      </c>
      <c r="L27" s="100">
        <f> -772252 + 387.5*2031+ 0.0037*83033</f>
        <v>15067.7221</v>
      </c>
      <c r="M27" s="210"/>
      <c r="N27" s="166">
        <v>11350.0</v>
      </c>
      <c r="O27" s="101">
        <f> -772252 + 387.5*2021 + 0.0037*82963</f>
        <v>11192.4631</v>
      </c>
      <c r="P27" s="267">
        <f>(N27-O27)/N27</f>
        <v>0.01387990308</v>
      </c>
    </row>
    <row r="28">
      <c r="E28" s="148"/>
      <c r="F28" s="151"/>
      <c r="G28" s="161">
        <f>AVERAGE(G6:G27)</f>
        <v>0.09487819875</v>
      </c>
      <c r="J28" s="152"/>
      <c r="K28" s="289"/>
      <c r="L28" s="290"/>
      <c r="O28" s="107"/>
      <c r="P28" s="264">
        <f>AVERAGE(P6:P27)</f>
        <v>0.04146281597</v>
      </c>
    </row>
    <row r="29">
      <c r="E29" s="148"/>
      <c r="G29" s="161">
        <f>1-G28</f>
        <v>0.9051218012</v>
      </c>
      <c r="J29" s="152"/>
      <c r="K29" s="289"/>
      <c r="L29" s="290"/>
      <c r="O29" s="107"/>
      <c r="P29" s="264">
        <f>1-P28</f>
        <v>0.958537184</v>
      </c>
    </row>
    <row r="30">
      <c r="J30" s="152"/>
      <c r="L30" s="290"/>
      <c r="O30" s="107"/>
      <c r="P30" s="151"/>
    </row>
    <row r="31">
      <c r="J31" s="152"/>
      <c r="L31" s="290"/>
      <c r="O31" s="107"/>
      <c r="P31" s="151"/>
    </row>
    <row r="32">
      <c r="J32" s="152"/>
      <c r="L32" s="290"/>
      <c r="O32" s="107"/>
      <c r="P32" s="151"/>
    </row>
    <row r="33">
      <c r="J33" s="152"/>
      <c r="L33" s="290"/>
      <c r="O33" s="107"/>
      <c r="P33" s="151"/>
    </row>
    <row r="34">
      <c r="J34" s="152"/>
      <c r="L34" s="290"/>
      <c r="O34" s="107"/>
      <c r="P34" s="151"/>
    </row>
    <row r="35">
      <c r="J35" s="152"/>
      <c r="L35" s="290"/>
      <c r="O35" s="107"/>
      <c r="P35" s="151"/>
    </row>
    <row r="36">
      <c r="J36" s="152"/>
      <c r="L36" s="290"/>
      <c r="O36" s="107"/>
      <c r="P36" s="151"/>
    </row>
    <row r="37">
      <c r="J37" s="152"/>
      <c r="L37" s="290"/>
      <c r="O37" s="107"/>
      <c r="P37" s="151"/>
    </row>
    <row r="38">
      <c r="J38" s="152"/>
      <c r="L38" s="290"/>
      <c r="O38" s="107"/>
      <c r="P38" s="151"/>
    </row>
    <row r="39">
      <c r="J39" s="152"/>
      <c r="L39" s="290"/>
      <c r="O39" s="107"/>
      <c r="P39" s="151"/>
    </row>
    <row r="40">
      <c r="J40" s="152"/>
      <c r="L40" s="290"/>
      <c r="O40" s="107"/>
      <c r="P40" s="151"/>
    </row>
    <row r="41">
      <c r="J41" s="152"/>
      <c r="L41" s="290"/>
      <c r="O41" s="107"/>
      <c r="P41" s="151"/>
    </row>
    <row r="42">
      <c r="J42" s="152"/>
      <c r="L42" s="290"/>
      <c r="O42" s="107"/>
      <c r="P42" s="151"/>
    </row>
    <row r="43">
      <c r="J43" s="152"/>
      <c r="L43" s="290"/>
      <c r="O43" s="107"/>
      <c r="P43" s="151"/>
    </row>
    <row r="44">
      <c r="J44" s="152"/>
      <c r="L44" s="290"/>
      <c r="O44" s="107"/>
      <c r="P44" s="151"/>
    </row>
    <row r="45">
      <c r="J45" s="152"/>
      <c r="L45" s="290"/>
      <c r="O45" s="107"/>
      <c r="P45" s="151"/>
    </row>
    <row r="46">
      <c r="J46" s="152"/>
      <c r="L46" s="290"/>
      <c r="O46" s="107"/>
      <c r="P46" s="151"/>
    </row>
    <row r="47">
      <c r="J47" s="152"/>
      <c r="L47" s="290"/>
      <c r="O47" s="107"/>
      <c r="P47" s="151"/>
    </row>
    <row r="48">
      <c r="J48" s="152"/>
      <c r="L48" s="290"/>
      <c r="O48" s="107"/>
      <c r="P48" s="151"/>
    </row>
    <row r="49">
      <c r="J49" s="152"/>
      <c r="L49" s="290"/>
      <c r="O49" s="107"/>
      <c r="P49" s="151"/>
    </row>
    <row r="50">
      <c r="J50" s="152"/>
      <c r="L50" s="290"/>
      <c r="O50" s="107"/>
      <c r="P50" s="151"/>
    </row>
    <row r="51">
      <c r="J51" s="152"/>
      <c r="L51" s="290"/>
      <c r="O51" s="107"/>
      <c r="P51" s="151"/>
    </row>
    <row r="52">
      <c r="J52" s="152"/>
      <c r="L52" s="290"/>
      <c r="O52" s="107"/>
      <c r="P52" s="151"/>
    </row>
    <row r="53">
      <c r="J53" s="152"/>
      <c r="L53" s="290"/>
      <c r="O53" s="107"/>
      <c r="P53" s="151"/>
    </row>
    <row r="54">
      <c r="J54" s="152"/>
      <c r="L54" s="290"/>
      <c r="O54" s="107"/>
      <c r="P54" s="151"/>
    </row>
    <row r="55">
      <c r="J55" s="152"/>
      <c r="L55" s="290"/>
      <c r="O55" s="107"/>
      <c r="P55" s="151"/>
    </row>
    <row r="56">
      <c r="J56" s="152"/>
      <c r="L56" s="290"/>
      <c r="O56" s="107"/>
      <c r="P56" s="151"/>
    </row>
    <row r="57">
      <c r="J57" s="152"/>
      <c r="L57" s="290"/>
      <c r="O57" s="107"/>
      <c r="P57" s="151"/>
    </row>
    <row r="58">
      <c r="J58" s="152"/>
      <c r="L58" s="290"/>
      <c r="O58" s="107"/>
      <c r="P58" s="151"/>
    </row>
    <row r="59">
      <c r="J59" s="152"/>
      <c r="L59" s="290"/>
      <c r="O59" s="107"/>
      <c r="P59" s="151"/>
    </row>
    <row r="60">
      <c r="J60" s="152"/>
      <c r="L60" s="290"/>
      <c r="O60" s="107"/>
      <c r="P60" s="151"/>
    </row>
    <row r="61">
      <c r="J61" s="152"/>
      <c r="L61" s="290"/>
      <c r="O61" s="107"/>
      <c r="P61" s="151"/>
    </row>
    <row r="62">
      <c r="J62" s="152"/>
      <c r="L62" s="290"/>
      <c r="O62" s="107"/>
      <c r="P62" s="151"/>
    </row>
    <row r="63">
      <c r="J63" s="152"/>
      <c r="L63" s="290"/>
      <c r="O63" s="107"/>
      <c r="P63" s="151"/>
    </row>
    <row r="64">
      <c r="J64" s="152"/>
      <c r="L64" s="290"/>
      <c r="O64" s="107"/>
      <c r="P64" s="151"/>
    </row>
    <row r="65">
      <c r="J65" s="152"/>
      <c r="L65" s="290"/>
      <c r="O65" s="107"/>
      <c r="P65" s="151"/>
    </row>
    <row r="66">
      <c r="J66" s="152"/>
      <c r="L66" s="290"/>
      <c r="O66" s="107"/>
      <c r="P66" s="151"/>
    </row>
    <row r="67">
      <c r="J67" s="152"/>
      <c r="L67" s="290"/>
      <c r="O67" s="107"/>
      <c r="P67" s="151"/>
    </row>
    <row r="68">
      <c r="J68" s="152"/>
      <c r="L68" s="290"/>
      <c r="O68" s="107"/>
      <c r="P68" s="151"/>
    </row>
    <row r="69">
      <c r="J69" s="152"/>
      <c r="L69" s="290"/>
      <c r="O69" s="107"/>
      <c r="P69" s="151"/>
    </row>
    <row r="70">
      <c r="J70" s="152"/>
      <c r="L70" s="290"/>
      <c r="O70" s="107"/>
      <c r="P70" s="151"/>
    </row>
    <row r="71">
      <c r="J71" s="152"/>
      <c r="L71" s="290"/>
      <c r="O71" s="107"/>
      <c r="P71" s="151"/>
    </row>
    <row r="72">
      <c r="J72" s="152"/>
      <c r="L72" s="290"/>
      <c r="O72" s="107"/>
      <c r="P72" s="151"/>
    </row>
    <row r="73">
      <c r="J73" s="152"/>
      <c r="L73" s="290"/>
      <c r="O73" s="107"/>
      <c r="P73" s="151"/>
    </row>
    <row r="74">
      <c r="J74" s="152"/>
      <c r="L74" s="290"/>
      <c r="O74" s="107"/>
      <c r="P74" s="151"/>
    </row>
    <row r="75">
      <c r="J75" s="152"/>
      <c r="L75" s="290"/>
      <c r="O75" s="107"/>
      <c r="P75" s="151"/>
    </row>
    <row r="76">
      <c r="J76" s="152"/>
      <c r="L76" s="290"/>
      <c r="O76" s="107"/>
      <c r="P76" s="151"/>
    </row>
    <row r="77">
      <c r="J77" s="152"/>
      <c r="L77" s="290"/>
      <c r="O77" s="107"/>
      <c r="P77" s="151"/>
    </row>
    <row r="78">
      <c r="J78" s="152"/>
      <c r="L78" s="290"/>
      <c r="O78" s="107"/>
      <c r="P78" s="151"/>
    </row>
    <row r="79">
      <c r="J79" s="152"/>
      <c r="L79" s="290"/>
      <c r="O79" s="107"/>
      <c r="P79" s="151"/>
    </row>
    <row r="80">
      <c r="J80" s="152"/>
      <c r="L80" s="290"/>
      <c r="O80" s="107"/>
      <c r="P80" s="151"/>
    </row>
    <row r="81">
      <c r="J81" s="152"/>
      <c r="L81" s="290"/>
      <c r="O81" s="107"/>
      <c r="P81" s="151"/>
    </row>
    <row r="82">
      <c r="J82" s="152"/>
      <c r="L82" s="290"/>
      <c r="O82" s="107"/>
      <c r="P82" s="151"/>
    </row>
    <row r="83">
      <c r="J83" s="152"/>
      <c r="L83" s="290"/>
      <c r="O83" s="107"/>
      <c r="P83" s="151"/>
    </row>
    <row r="84">
      <c r="J84" s="152"/>
      <c r="L84" s="290"/>
      <c r="O84" s="107"/>
      <c r="P84" s="151"/>
    </row>
    <row r="85">
      <c r="J85" s="152"/>
      <c r="L85" s="290"/>
      <c r="O85" s="107"/>
      <c r="P85" s="151"/>
    </row>
    <row r="86">
      <c r="J86" s="152"/>
      <c r="L86" s="290"/>
      <c r="O86" s="107"/>
      <c r="P86" s="151"/>
    </row>
    <row r="87">
      <c r="J87" s="152"/>
      <c r="L87" s="290"/>
      <c r="O87" s="107"/>
      <c r="P87" s="151"/>
    </row>
    <row r="88">
      <c r="J88" s="152"/>
      <c r="L88" s="290"/>
      <c r="O88" s="107"/>
      <c r="P88" s="151"/>
    </row>
    <row r="89">
      <c r="J89" s="152"/>
      <c r="L89" s="290"/>
      <c r="O89" s="107"/>
      <c r="P89" s="151"/>
    </row>
    <row r="90">
      <c r="J90" s="152"/>
      <c r="L90" s="290"/>
      <c r="O90" s="107"/>
      <c r="P90" s="151"/>
    </row>
    <row r="91">
      <c r="J91" s="152"/>
      <c r="L91" s="290"/>
      <c r="O91" s="107"/>
      <c r="P91" s="151"/>
    </row>
    <row r="92">
      <c r="J92" s="152"/>
      <c r="L92" s="290"/>
      <c r="O92" s="107"/>
      <c r="P92" s="151"/>
    </row>
    <row r="93">
      <c r="J93" s="152"/>
      <c r="L93" s="290"/>
      <c r="O93" s="107"/>
      <c r="P93" s="151"/>
    </row>
    <row r="94">
      <c r="J94" s="152"/>
      <c r="L94" s="290"/>
      <c r="O94" s="107"/>
      <c r="P94" s="151"/>
    </row>
    <row r="95">
      <c r="J95" s="152"/>
      <c r="L95" s="290"/>
      <c r="O95" s="107"/>
      <c r="P95" s="151"/>
    </row>
    <row r="96">
      <c r="J96" s="152"/>
      <c r="L96" s="290"/>
      <c r="O96" s="107"/>
      <c r="P96" s="151"/>
    </row>
    <row r="97">
      <c r="J97" s="152"/>
      <c r="L97" s="290"/>
      <c r="O97" s="107"/>
      <c r="P97" s="151"/>
    </row>
    <row r="98">
      <c r="J98" s="152"/>
      <c r="L98" s="290"/>
      <c r="O98" s="107"/>
      <c r="P98" s="151"/>
    </row>
    <row r="99">
      <c r="J99" s="152"/>
      <c r="L99" s="290"/>
      <c r="O99" s="107"/>
      <c r="P99" s="151"/>
    </row>
    <row r="100">
      <c r="J100" s="152"/>
      <c r="L100" s="290"/>
      <c r="O100" s="107"/>
      <c r="P100" s="151"/>
    </row>
    <row r="101">
      <c r="J101" s="152"/>
      <c r="L101" s="290"/>
      <c r="O101" s="107"/>
      <c r="P101" s="151"/>
    </row>
    <row r="102">
      <c r="J102" s="152"/>
      <c r="L102" s="290"/>
      <c r="O102" s="107"/>
      <c r="P102" s="151"/>
    </row>
    <row r="103">
      <c r="J103" s="152"/>
      <c r="L103" s="290"/>
      <c r="O103" s="107"/>
      <c r="P103" s="151"/>
    </row>
    <row r="104">
      <c r="J104" s="152"/>
      <c r="L104" s="290"/>
      <c r="O104" s="107"/>
      <c r="P104" s="151"/>
    </row>
    <row r="105">
      <c r="J105" s="152"/>
      <c r="L105" s="290"/>
      <c r="O105" s="107"/>
      <c r="P105" s="151"/>
    </row>
    <row r="106">
      <c r="J106" s="152"/>
      <c r="L106" s="290"/>
      <c r="O106" s="107"/>
      <c r="P106" s="151"/>
    </row>
    <row r="107">
      <c r="J107" s="152"/>
      <c r="L107" s="290"/>
      <c r="O107" s="107"/>
      <c r="P107" s="151"/>
    </row>
    <row r="108">
      <c r="J108" s="152"/>
      <c r="L108" s="290"/>
      <c r="O108" s="107"/>
      <c r="P108" s="151"/>
    </row>
    <row r="109">
      <c r="J109" s="152"/>
      <c r="L109" s="290"/>
      <c r="O109" s="107"/>
      <c r="P109" s="151"/>
    </row>
    <row r="110">
      <c r="J110" s="152"/>
      <c r="L110" s="290"/>
      <c r="O110" s="107"/>
      <c r="P110" s="151"/>
    </row>
    <row r="111">
      <c r="J111" s="152"/>
      <c r="L111" s="290"/>
      <c r="O111" s="107"/>
      <c r="P111" s="151"/>
    </row>
    <row r="112">
      <c r="J112" s="152"/>
      <c r="L112" s="290"/>
      <c r="O112" s="107"/>
      <c r="P112" s="151"/>
    </row>
    <row r="113">
      <c r="J113" s="152"/>
      <c r="L113" s="290"/>
      <c r="O113" s="107"/>
      <c r="P113" s="151"/>
    </row>
    <row r="114">
      <c r="J114" s="152"/>
      <c r="L114" s="290"/>
      <c r="O114" s="107"/>
      <c r="P114" s="151"/>
    </row>
    <row r="115">
      <c r="J115" s="152"/>
      <c r="L115" s="290"/>
      <c r="O115" s="107"/>
      <c r="P115" s="151"/>
    </row>
    <row r="116">
      <c r="J116" s="152"/>
      <c r="L116" s="290"/>
      <c r="O116" s="107"/>
      <c r="P116" s="151"/>
    </row>
    <row r="117">
      <c r="J117" s="152"/>
      <c r="L117" s="290"/>
      <c r="O117" s="107"/>
      <c r="P117" s="151"/>
    </row>
    <row r="118">
      <c r="J118" s="152"/>
      <c r="L118" s="290"/>
      <c r="O118" s="107"/>
      <c r="P118" s="151"/>
    </row>
    <row r="119">
      <c r="J119" s="152"/>
      <c r="L119" s="290"/>
      <c r="O119" s="107"/>
      <c r="P119" s="151"/>
    </row>
    <row r="120">
      <c r="J120" s="152"/>
      <c r="L120" s="290"/>
      <c r="O120" s="107"/>
      <c r="P120" s="151"/>
    </row>
    <row r="121">
      <c r="J121" s="152"/>
      <c r="L121" s="290"/>
      <c r="O121" s="107"/>
      <c r="P121" s="151"/>
    </row>
    <row r="122">
      <c r="J122" s="152"/>
      <c r="L122" s="290"/>
      <c r="O122" s="107"/>
      <c r="P122" s="151"/>
    </row>
    <row r="123">
      <c r="J123" s="152"/>
      <c r="L123" s="290"/>
      <c r="O123" s="107"/>
      <c r="P123" s="151"/>
    </row>
    <row r="124">
      <c r="J124" s="152"/>
      <c r="L124" s="290"/>
      <c r="O124" s="107"/>
      <c r="P124" s="151"/>
    </row>
    <row r="125">
      <c r="J125" s="152"/>
      <c r="L125" s="290"/>
      <c r="O125" s="107"/>
      <c r="P125" s="151"/>
    </row>
    <row r="126">
      <c r="J126" s="152"/>
      <c r="L126" s="290"/>
      <c r="O126" s="107"/>
      <c r="P126" s="151"/>
    </row>
    <row r="127">
      <c r="J127" s="152"/>
      <c r="L127" s="290"/>
      <c r="O127" s="107"/>
      <c r="P127" s="151"/>
    </row>
    <row r="128">
      <c r="J128" s="152"/>
      <c r="L128" s="290"/>
      <c r="O128" s="107"/>
      <c r="P128" s="151"/>
    </row>
    <row r="129">
      <c r="J129" s="152"/>
      <c r="L129" s="290"/>
      <c r="O129" s="107"/>
      <c r="P129" s="151"/>
    </row>
    <row r="130">
      <c r="J130" s="152"/>
      <c r="L130" s="290"/>
      <c r="O130" s="107"/>
      <c r="P130" s="151"/>
    </row>
    <row r="131">
      <c r="J131" s="152"/>
      <c r="L131" s="290"/>
      <c r="O131" s="107"/>
      <c r="P131" s="151"/>
    </row>
    <row r="132">
      <c r="J132" s="152"/>
      <c r="L132" s="290"/>
      <c r="O132" s="107"/>
      <c r="P132" s="151"/>
    </row>
    <row r="133">
      <c r="J133" s="152"/>
      <c r="L133" s="290"/>
      <c r="O133" s="107"/>
      <c r="P133" s="151"/>
    </row>
    <row r="134">
      <c r="J134" s="152"/>
      <c r="L134" s="290"/>
      <c r="O134" s="107"/>
      <c r="P134" s="151"/>
    </row>
    <row r="135">
      <c r="J135" s="152"/>
      <c r="L135" s="290"/>
      <c r="O135" s="107"/>
      <c r="P135" s="151"/>
    </row>
    <row r="136">
      <c r="J136" s="152"/>
      <c r="L136" s="290"/>
      <c r="O136" s="107"/>
      <c r="P136" s="151"/>
    </row>
    <row r="137">
      <c r="J137" s="152"/>
      <c r="L137" s="290"/>
      <c r="O137" s="107"/>
      <c r="P137" s="151"/>
    </row>
    <row r="138">
      <c r="J138" s="152"/>
      <c r="L138" s="290"/>
      <c r="O138" s="107"/>
      <c r="P138" s="151"/>
    </row>
    <row r="139">
      <c r="J139" s="152"/>
      <c r="L139" s="290"/>
      <c r="O139" s="107"/>
      <c r="P139" s="151"/>
    </row>
    <row r="140">
      <c r="J140" s="152"/>
      <c r="L140" s="290"/>
      <c r="O140" s="107"/>
      <c r="P140" s="151"/>
    </row>
    <row r="141">
      <c r="J141" s="152"/>
      <c r="L141" s="290"/>
      <c r="O141" s="107"/>
      <c r="P141" s="151"/>
    </row>
    <row r="142">
      <c r="J142" s="152"/>
      <c r="L142" s="290"/>
      <c r="O142" s="107"/>
      <c r="P142" s="151"/>
    </row>
    <row r="143">
      <c r="J143" s="152"/>
      <c r="L143" s="290"/>
      <c r="O143" s="107"/>
      <c r="P143" s="151"/>
    </row>
    <row r="144">
      <c r="J144" s="152"/>
      <c r="L144" s="290"/>
      <c r="O144" s="107"/>
      <c r="P144" s="151"/>
    </row>
    <row r="145">
      <c r="J145" s="152"/>
      <c r="L145" s="290"/>
      <c r="O145" s="107"/>
      <c r="P145" s="151"/>
    </row>
    <row r="146">
      <c r="J146" s="152"/>
      <c r="L146" s="290"/>
      <c r="O146" s="107"/>
      <c r="P146" s="151"/>
    </row>
    <row r="147">
      <c r="J147" s="152"/>
      <c r="L147" s="290"/>
      <c r="O147" s="107"/>
      <c r="P147" s="151"/>
    </row>
    <row r="148">
      <c r="J148" s="152"/>
      <c r="L148" s="290"/>
      <c r="O148" s="107"/>
      <c r="P148" s="151"/>
    </row>
    <row r="149">
      <c r="J149" s="152"/>
      <c r="L149" s="290"/>
      <c r="O149" s="107"/>
      <c r="P149" s="151"/>
    </row>
    <row r="150">
      <c r="J150" s="152"/>
      <c r="L150" s="290"/>
      <c r="O150" s="107"/>
      <c r="P150" s="151"/>
    </row>
    <row r="151">
      <c r="J151" s="152"/>
      <c r="L151" s="290"/>
      <c r="O151" s="107"/>
      <c r="P151" s="151"/>
    </row>
    <row r="152">
      <c r="J152" s="152"/>
      <c r="L152" s="290"/>
      <c r="O152" s="107"/>
      <c r="P152" s="151"/>
    </row>
    <row r="153">
      <c r="J153" s="152"/>
      <c r="L153" s="290"/>
      <c r="O153" s="107"/>
      <c r="P153" s="151"/>
    </row>
    <row r="154">
      <c r="J154" s="152"/>
      <c r="L154" s="290"/>
      <c r="O154" s="107"/>
      <c r="P154" s="151"/>
    </row>
    <row r="155">
      <c r="J155" s="152"/>
      <c r="L155" s="290"/>
      <c r="O155" s="107"/>
      <c r="P155" s="151"/>
    </row>
    <row r="156">
      <c r="J156" s="152"/>
      <c r="L156" s="290"/>
      <c r="O156" s="107"/>
      <c r="P156" s="151"/>
    </row>
    <row r="157">
      <c r="J157" s="152"/>
      <c r="L157" s="290"/>
      <c r="O157" s="107"/>
      <c r="P157" s="151"/>
    </row>
    <row r="158">
      <c r="J158" s="152"/>
      <c r="L158" s="290"/>
      <c r="O158" s="107"/>
      <c r="P158" s="151"/>
    </row>
    <row r="159">
      <c r="J159" s="152"/>
      <c r="L159" s="290"/>
      <c r="O159" s="107"/>
      <c r="P159" s="151"/>
    </row>
    <row r="160">
      <c r="J160" s="152"/>
      <c r="L160" s="290"/>
      <c r="O160" s="107"/>
      <c r="P160" s="151"/>
    </row>
    <row r="161">
      <c r="J161" s="152"/>
      <c r="L161" s="290"/>
      <c r="O161" s="107"/>
      <c r="P161" s="151"/>
    </row>
    <row r="162">
      <c r="J162" s="152"/>
      <c r="L162" s="290"/>
      <c r="O162" s="107"/>
      <c r="P162" s="151"/>
    </row>
    <row r="163">
      <c r="J163" s="152"/>
      <c r="L163" s="290"/>
      <c r="O163" s="107"/>
      <c r="P163" s="151"/>
    </row>
    <row r="164">
      <c r="J164" s="152"/>
      <c r="L164" s="290"/>
      <c r="O164" s="107"/>
      <c r="P164" s="151"/>
    </row>
    <row r="165">
      <c r="J165" s="152"/>
      <c r="L165" s="290"/>
      <c r="O165" s="107"/>
      <c r="P165" s="151"/>
    </row>
    <row r="166">
      <c r="J166" s="152"/>
      <c r="L166" s="290"/>
      <c r="O166" s="107"/>
      <c r="P166" s="151"/>
    </row>
    <row r="167">
      <c r="J167" s="152"/>
      <c r="L167" s="290"/>
      <c r="O167" s="107"/>
      <c r="P167" s="151"/>
    </row>
    <row r="168">
      <c r="J168" s="152"/>
      <c r="L168" s="290"/>
      <c r="O168" s="107"/>
      <c r="P168" s="151"/>
    </row>
    <row r="169">
      <c r="J169" s="152"/>
      <c r="L169" s="290"/>
      <c r="O169" s="107"/>
      <c r="P169" s="151"/>
    </row>
    <row r="170">
      <c r="J170" s="152"/>
      <c r="L170" s="290"/>
      <c r="O170" s="107"/>
      <c r="P170" s="151"/>
    </row>
    <row r="171">
      <c r="J171" s="152"/>
      <c r="L171" s="290"/>
      <c r="O171" s="107"/>
      <c r="P171" s="151"/>
    </row>
    <row r="172">
      <c r="J172" s="152"/>
      <c r="L172" s="290"/>
      <c r="O172" s="107"/>
      <c r="P172" s="151"/>
    </row>
    <row r="173">
      <c r="J173" s="152"/>
      <c r="L173" s="290"/>
      <c r="O173" s="107"/>
      <c r="P173" s="151"/>
    </row>
    <row r="174">
      <c r="J174" s="152"/>
      <c r="L174" s="290"/>
      <c r="O174" s="107"/>
      <c r="P174" s="151"/>
    </row>
    <row r="175">
      <c r="J175" s="152"/>
      <c r="L175" s="290"/>
      <c r="O175" s="107"/>
      <c r="P175" s="151"/>
    </row>
    <row r="176">
      <c r="J176" s="152"/>
      <c r="L176" s="290"/>
      <c r="O176" s="107"/>
      <c r="P176" s="151"/>
    </row>
    <row r="177">
      <c r="J177" s="152"/>
      <c r="L177" s="290"/>
      <c r="O177" s="107"/>
      <c r="P177" s="151"/>
    </row>
    <row r="178">
      <c r="J178" s="152"/>
      <c r="L178" s="290"/>
      <c r="O178" s="107"/>
      <c r="P178" s="151"/>
    </row>
    <row r="179">
      <c r="J179" s="152"/>
      <c r="L179" s="290"/>
      <c r="O179" s="107"/>
      <c r="P179" s="151"/>
    </row>
    <row r="180">
      <c r="J180" s="152"/>
      <c r="L180" s="290"/>
      <c r="O180" s="107"/>
      <c r="P180" s="151"/>
    </row>
    <row r="181">
      <c r="J181" s="152"/>
      <c r="L181" s="290"/>
      <c r="O181" s="107"/>
      <c r="P181" s="151"/>
    </row>
    <row r="182">
      <c r="J182" s="152"/>
      <c r="L182" s="290"/>
      <c r="O182" s="107"/>
      <c r="P182" s="151"/>
    </row>
    <row r="183">
      <c r="J183" s="152"/>
      <c r="L183" s="290"/>
      <c r="O183" s="107"/>
      <c r="P183" s="151"/>
    </row>
    <row r="184">
      <c r="J184" s="152"/>
      <c r="L184" s="290"/>
      <c r="O184" s="107"/>
      <c r="P184" s="151"/>
    </row>
    <row r="185">
      <c r="J185" s="152"/>
      <c r="L185" s="290"/>
      <c r="O185" s="107"/>
      <c r="P185" s="151"/>
    </row>
    <row r="186">
      <c r="J186" s="152"/>
      <c r="L186" s="290"/>
      <c r="O186" s="107"/>
      <c r="P186" s="151"/>
    </row>
    <row r="187">
      <c r="J187" s="152"/>
      <c r="L187" s="290"/>
      <c r="O187" s="107"/>
      <c r="P187" s="151"/>
    </row>
    <row r="188">
      <c r="J188" s="152"/>
      <c r="L188" s="290"/>
      <c r="O188" s="107"/>
      <c r="P188" s="151"/>
    </row>
    <row r="189">
      <c r="J189" s="152"/>
      <c r="L189" s="290"/>
      <c r="O189" s="107"/>
      <c r="P189" s="151"/>
    </row>
    <row r="190">
      <c r="J190" s="152"/>
      <c r="L190" s="290"/>
      <c r="O190" s="107"/>
      <c r="P190" s="151"/>
    </row>
    <row r="191">
      <c r="J191" s="152"/>
      <c r="L191" s="290"/>
      <c r="O191" s="107"/>
      <c r="P191" s="151"/>
    </row>
    <row r="192">
      <c r="J192" s="152"/>
      <c r="L192" s="290"/>
      <c r="O192" s="107"/>
      <c r="P192" s="151"/>
    </row>
    <row r="193">
      <c r="J193" s="152"/>
      <c r="L193" s="290"/>
      <c r="O193" s="107"/>
      <c r="P193" s="151"/>
    </row>
    <row r="194">
      <c r="J194" s="152"/>
      <c r="L194" s="290"/>
      <c r="O194" s="107"/>
      <c r="P194" s="151"/>
    </row>
    <row r="195">
      <c r="J195" s="152"/>
      <c r="L195" s="290"/>
      <c r="O195" s="107"/>
      <c r="P195" s="151"/>
    </row>
    <row r="196">
      <c r="J196" s="152"/>
      <c r="L196" s="290"/>
      <c r="O196" s="107"/>
      <c r="P196" s="151"/>
    </row>
    <row r="197">
      <c r="J197" s="152"/>
      <c r="L197" s="290"/>
      <c r="O197" s="107"/>
      <c r="P197" s="151"/>
    </row>
    <row r="198">
      <c r="J198" s="152"/>
      <c r="L198" s="290"/>
      <c r="O198" s="107"/>
      <c r="P198" s="151"/>
    </row>
    <row r="199">
      <c r="J199" s="152"/>
      <c r="L199" s="290"/>
      <c r="O199" s="107"/>
      <c r="P199" s="151"/>
    </row>
    <row r="200">
      <c r="J200" s="152"/>
      <c r="L200" s="290"/>
      <c r="O200" s="107"/>
      <c r="P200" s="151"/>
    </row>
    <row r="201">
      <c r="J201" s="152"/>
      <c r="L201" s="290"/>
      <c r="O201" s="107"/>
      <c r="P201" s="151"/>
    </row>
    <row r="202">
      <c r="J202" s="152"/>
      <c r="L202" s="290"/>
      <c r="O202" s="107"/>
      <c r="P202" s="151"/>
    </row>
    <row r="203">
      <c r="J203" s="152"/>
      <c r="L203" s="290"/>
      <c r="O203" s="107"/>
      <c r="P203" s="151"/>
    </row>
    <row r="204">
      <c r="J204" s="152"/>
      <c r="L204" s="290"/>
      <c r="O204" s="107"/>
      <c r="P204" s="151"/>
    </row>
    <row r="205">
      <c r="J205" s="152"/>
      <c r="L205" s="290"/>
      <c r="O205" s="107"/>
      <c r="P205" s="151"/>
    </row>
    <row r="206">
      <c r="J206" s="152"/>
      <c r="L206" s="290"/>
      <c r="O206" s="107"/>
      <c r="P206" s="151"/>
    </row>
    <row r="207">
      <c r="J207" s="152"/>
      <c r="L207" s="290"/>
      <c r="O207" s="107"/>
      <c r="P207" s="151"/>
    </row>
    <row r="208">
      <c r="J208" s="152"/>
      <c r="L208" s="290"/>
      <c r="O208" s="107"/>
      <c r="P208" s="151"/>
    </row>
    <row r="209">
      <c r="J209" s="152"/>
      <c r="L209" s="290"/>
      <c r="O209" s="107"/>
      <c r="P209" s="151"/>
    </row>
    <row r="210">
      <c r="J210" s="152"/>
      <c r="L210" s="290"/>
      <c r="O210" s="107"/>
      <c r="P210" s="151"/>
    </row>
    <row r="211">
      <c r="J211" s="152"/>
      <c r="L211" s="290"/>
      <c r="O211" s="107"/>
      <c r="P211" s="151"/>
    </row>
    <row r="212">
      <c r="J212" s="152"/>
      <c r="L212" s="290"/>
      <c r="O212" s="107"/>
      <c r="P212" s="151"/>
    </row>
    <row r="213">
      <c r="J213" s="152"/>
      <c r="L213" s="290"/>
      <c r="O213" s="107"/>
      <c r="P213" s="151"/>
    </row>
    <row r="214">
      <c r="J214" s="152"/>
      <c r="L214" s="290"/>
      <c r="O214" s="107"/>
      <c r="P214" s="151"/>
    </row>
    <row r="215">
      <c r="J215" s="152"/>
      <c r="L215" s="290"/>
      <c r="O215" s="107"/>
      <c r="P215" s="151"/>
    </row>
    <row r="216">
      <c r="J216" s="152"/>
      <c r="L216" s="290"/>
      <c r="O216" s="107"/>
      <c r="P216" s="151"/>
    </row>
    <row r="217">
      <c r="J217" s="152"/>
      <c r="L217" s="290"/>
      <c r="O217" s="107"/>
      <c r="P217" s="151"/>
    </row>
    <row r="218">
      <c r="J218" s="152"/>
      <c r="L218" s="290"/>
      <c r="O218" s="107"/>
      <c r="P218" s="151"/>
    </row>
    <row r="219">
      <c r="J219" s="152"/>
      <c r="L219" s="290"/>
      <c r="O219" s="107"/>
      <c r="P219" s="151"/>
    </row>
    <row r="220">
      <c r="J220" s="152"/>
      <c r="L220" s="290"/>
      <c r="O220" s="107"/>
      <c r="P220" s="151"/>
    </row>
    <row r="221">
      <c r="J221" s="152"/>
      <c r="L221" s="290"/>
      <c r="O221" s="107"/>
      <c r="P221" s="151"/>
    </row>
    <row r="222">
      <c r="J222" s="152"/>
      <c r="L222" s="290"/>
      <c r="O222" s="107"/>
      <c r="P222" s="151"/>
    </row>
    <row r="223">
      <c r="J223" s="152"/>
      <c r="L223" s="290"/>
      <c r="O223" s="107"/>
      <c r="P223" s="151"/>
    </row>
    <row r="224">
      <c r="J224" s="152"/>
      <c r="L224" s="290"/>
      <c r="O224" s="107"/>
      <c r="P224" s="151"/>
    </row>
    <row r="225">
      <c r="J225" s="152"/>
      <c r="L225" s="290"/>
      <c r="O225" s="107"/>
      <c r="P225" s="151"/>
    </row>
    <row r="226">
      <c r="J226" s="152"/>
      <c r="L226" s="290"/>
      <c r="O226" s="107"/>
      <c r="P226" s="151"/>
    </row>
    <row r="227">
      <c r="J227" s="152"/>
      <c r="L227" s="290"/>
      <c r="O227" s="107"/>
      <c r="P227" s="151"/>
    </row>
    <row r="228">
      <c r="J228" s="152"/>
      <c r="L228" s="290"/>
      <c r="O228" s="107"/>
      <c r="P228" s="151"/>
    </row>
    <row r="229">
      <c r="J229" s="152"/>
      <c r="L229" s="290"/>
      <c r="O229" s="107"/>
      <c r="P229" s="151"/>
    </row>
    <row r="230">
      <c r="J230" s="152"/>
      <c r="L230" s="290"/>
      <c r="O230" s="107"/>
      <c r="P230" s="151"/>
    </row>
    <row r="231">
      <c r="J231" s="152"/>
      <c r="L231" s="290"/>
      <c r="O231" s="107"/>
      <c r="P231" s="151"/>
    </row>
    <row r="232">
      <c r="J232" s="152"/>
      <c r="L232" s="290"/>
      <c r="O232" s="107"/>
      <c r="P232" s="151"/>
    </row>
    <row r="233">
      <c r="J233" s="152"/>
      <c r="L233" s="290"/>
      <c r="O233" s="107"/>
      <c r="P233" s="151"/>
    </row>
    <row r="234">
      <c r="J234" s="152"/>
      <c r="L234" s="290"/>
      <c r="O234" s="107"/>
      <c r="P234" s="151"/>
    </row>
    <row r="235">
      <c r="J235" s="152"/>
      <c r="L235" s="290"/>
      <c r="O235" s="107"/>
      <c r="P235" s="151"/>
    </row>
    <row r="236">
      <c r="J236" s="152"/>
      <c r="L236" s="290"/>
      <c r="O236" s="107"/>
      <c r="P236" s="151"/>
    </row>
    <row r="237">
      <c r="J237" s="152"/>
      <c r="L237" s="290"/>
      <c r="O237" s="107"/>
      <c r="P237" s="151"/>
    </row>
    <row r="238">
      <c r="J238" s="152"/>
      <c r="L238" s="290"/>
      <c r="O238" s="107"/>
      <c r="P238" s="151"/>
    </row>
    <row r="239">
      <c r="J239" s="152"/>
      <c r="L239" s="290"/>
      <c r="O239" s="107"/>
      <c r="P239" s="151"/>
    </row>
    <row r="240">
      <c r="J240" s="152"/>
      <c r="L240" s="290"/>
      <c r="O240" s="107"/>
      <c r="P240" s="151"/>
    </row>
    <row r="241">
      <c r="J241" s="152"/>
      <c r="L241" s="290"/>
      <c r="O241" s="107"/>
      <c r="P241" s="151"/>
    </row>
    <row r="242">
      <c r="J242" s="152"/>
      <c r="L242" s="290"/>
      <c r="O242" s="107"/>
      <c r="P242" s="151"/>
    </row>
    <row r="243">
      <c r="J243" s="152"/>
      <c r="L243" s="290"/>
      <c r="O243" s="107"/>
      <c r="P243" s="151"/>
    </row>
    <row r="244">
      <c r="J244" s="152"/>
      <c r="L244" s="290"/>
      <c r="O244" s="107"/>
      <c r="P244" s="151"/>
    </row>
    <row r="245">
      <c r="J245" s="152"/>
      <c r="L245" s="290"/>
      <c r="O245" s="107"/>
      <c r="P245" s="151"/>
    </row>
    <row r="246">
      <c r="J246" s="152"/>
      <c r="L246" s="290"/>
      <c r="O246" s="107"/>
      <c r="P246" s="151"/>
    </row>
    <row r="247">
      <c r="J247" s="152"/>
      <c r="L247" s="290"/>
      <c r="O247" s="107"/>
      <c r="P247" s="151"/>
    </row>
    <row r="248">
      <c r="J248" s="152"/>
      <c r="L248" s="290"/>
      <c r="O248" s="107"/>
      <c r="P248" s="151"/>
    </row>
    <row r="249">
      <c r="J249" s="152"/>
      <c r="L249" s="290"/>
      <c r="O249" s="107"/>
      <c r="P249" s="151"/>
    </row>
    <row r="250">
      <c r="J250" s="152"/>
      <c r="L250" s="290"/>
      <c r="O250" s="107"/>
      <c r="P250" s="151"/>
    </row>
    <row r="251">
      <c r="J251" s="152"/>
      <c r="L251" s="290"/>
      <c r="O251" s="107"/>
      <c r="P251" s="151"/>
    </row>
    <row r="252">
      <c r="J252" s="152"/>
      <c r="L252" s="290"/>
      <c r="O252" s="107"/>
      <c r="P252" s="151"/>
    </row>
    <row r="253">
      <c r="J253" s="152"/>
      <c r="L253" s="290"/>
      <c r="O253" s="107"/>
      <c r="P253" s="151"/>
    </row>
    <row r="254">
      <c r="J254" s="152"/>
      <c r="L254" s="290"/>
      <c r="O254" s="107"/>
      <c r="P254" s="151"/>
    </row>
    <row r="255">
      <c r="J255" s="152"/>
      <c r="L255" s="290"/>
      <c r="O255" s="107"/>
      <c r="P255" s="151"/>
    </row>
    <row r="256">
      <c r="J256" s="152"/>
      <c r="L256" s="290"/>
      <c r="O256" s="107"/>
      <c r="P256" s="151"/>
    </row>
    <row r="257">
      <c r="J257" s="152"/>
      <c r="L257" s="290"/>
      <c r="O257" s="107"/>
      <c r="P257" s="151"/>
    </row>
    <row r="258">
      <c r="J258" s="152"/>
      <c r="L258" s="290"/>
      <c r="O258" s="107"/>
      <c r="P258" s="151"/>
    </row>
    <row r="259">
      <c r="J259" s="152"/>
      <c r="L259" s="290"/>
      <c r="O259" s="107"/>
      <c r="P259" s="151"/>
    </row>
    <row r="260">
      <c r="J260" s="152"/>
      <c r="L260" s="290"/>
      <c r="O260" s="107"/>
      <c r="P260" s="151"/>
    </row>
    <row r="261">
      <c r="J261" s="152"/>
      <c r="L261" s="290"/>
      <c r="O261" s="107"/>
      <c r="P261" s="151"/>
    </row>
    <row r="262">
      <c r="J262" s="152"/>
      <c r="L262" s="290"/>
      <c r="O262" s="107"/>
      <c r="P262" s="151"/>
    </row>
    <row r="263">
      <c r="J263" s="152"/>
      <c r="L263" s="290"/>
      <c r="O263" s="107"/>
      <c r="P263" s="151"/>
    </row>
    <row r="264">
      <c r="J264" s="152"/>
      <c r="L264" s="290"/>
      <c r="O264" s="107"/>
      <c r="P264" s="151"/>
    </row>
    <row r="265">
      <c r="J265" s="152"/>
      <c r="L265" s="290"/>
      <c r="O265" s="107"/>
      <c r="P265" s="151"/>
    </row>
    <row r="266">
      <c r="J266" s="152"/>
      <c r="L266" s="290"/>
      <c r="O266" s="107"/>
      <c r="P266" s="151"/>
    </row>
    <row r="267">
      <c r="J267" s="152"/>
      <c r="L267" s="290"/>
      <c r="O267" s="107"/>
      <c r="P267" s="151"/>
    </row>
    <row r="268">
      <c r="J268" s="152"/>
      <c r="L268" s="290"/>
      <c r="O268" s="107"/>
      <c r="P268" s="151"/>
    </row>
    <row r="269">
      <c r="J269" s="152"/>
      <c r="L269" s="290"/>
      <c r="O269" s="107"/>
      <c r="P269" s="151"/>
    </row>
    <row r="270">
      <c r="J270" s="152"/>
      <c r="L270" s="290"/>
      <c r="O270" s="107"/>
      <c r="P270" s="151"/>
    </row>
    <row r="271">
      <c r="J271" s="152"/>
      <c r="L271" s="290"/>
      <c r="O271" s="107"/>
      <c r="P271" s="151"/>
    </row>
    <row r="272">
      <c r="J272" s="152"/>
      <c r="L272" s="290"/>
      <c r="O272" s="107"/>
      <c r="P272" s="151"/>
    </row>
    <row r="273">
      <c r="J273" s="152"/>
      <c r="L273" s="290"/>
      <c r="O273" s="107"/>
      <c r="P273" s="151"/>
    </row>
    <row r="274">
      <c r="J274" s="152"/>
      <c r="L274" s="290"/>
      <c r="O274" s="107"/>
      <c r="P274" s="151"/>
    </row>
    <row r="275">
      <c r="J275" s="152"/>
      <c r="L275" s="290"/>
      <c r="O275" s="107"/>
      <c r="P275" s="151"/>
    </row>
    <row r="276">
      <c r="J276" s="152"/>
      <c r="L276" s="290"/>
      <c r="O276" s="107"/>
      <c r="P276" s="151"/>
    </row>
    <row r="277">
      <c r="J277" s="152"/>
      <c r="L277" s="290"/>
      <c r="O277" s="107"/>
      <c r="P277" s="151"/>
    </row>
    <row r="278">
      <c r="J278" s="152"/>
      <c r="L278" s="290"/>
      <c r="O278" s="107"/>
      <c r="P278" s="151"/>
    </row>
    <row r="279">
      <c r="J279" s="152"/>
      <c r="L279" s="290"/>
      <c r="O279" s="107"/>
      <c r="P279" s="151"/>
    </row>
    <row r="280">
      <c r="J280" s="152"/>
      <c r="L280" s="290"/>
      <c r="O280" s="107"/>
      <c r="P280" s="151"/>
    </row>
    <row r="281">
      <c r="J281" s="152"/>
      <c r="L281" s="290"/>
      <c r="O281" s="107"/>
      <c r="P281" s="151"/>
    </row>
    <row r="282">
      <c r="J282" s="152"/>
      <c r="L282" s="290"/>
      <c r="O282" s="107"/>
      <c r="P282" s="151"/>
    </row>
    <row r="283">
      <c r="J283" s="152"/>
      <c r="L283" s="290"/>
      <c r="O283" s="107"/>
      <c r="P283" s="151"/>
    </row>
    <row r="284">
      <c r="J284" s="152"/>
      <c r="L284" s="290"/>
      <c r="O284" s="107"/>
      <c r="P284" s="151"/>
    </row>
    <row r="285">
      <c r="J285" s="152"/>
      <c r="L285" s="290"/>
      <c r="O285" s="107"/>
      <c r="P285" s="151"/>
    </row>
    <row r="286">
      <c r="J286" s="152"/>
      <c r="L286" s="290"/>
      <c r="O286" s="107"/>
      <c r="P286" s="151"/>
    </row>
    <row r="287">
      <c r="J287" s="152"/>
      <c r="L287" s="290"/>
      <c r="O287" s="107"/>
      <c r="P287" s="151"/>
    </row>
    <row r="288">
      <c r="J288" s="152"/>
      <c r="L288" s="290"/>
      <c r="O288" s="107"/>
      <c r="P288" s="151"/>
    </row>
    <row r="289">
      <c r="J289" s="152"/>
      <c r="L289" s="290"/>
      <c r="O289" s="107"/>
      <c r="P289" s="151"/>
    </row>
    <row r="290">
      <c r="J290" s="152"/>
      <c r="L290" s="290"/>
      <c r="O290" s="107"/>
      <c r="P290" s="151"/>
    </row>
    <row r="291">
      <c r="J291" s="152"/>
      <c r="L291" s="290"/>
      <c r="O291" s="107"/>
      <c r="P291" s="151"/>
    </row>
    <row r="292">
      <c r="J292" s="152"/>
      <c r="L292" s="290"/>
      <c r="O292" s="107"/>
      <c r="P292" s="151"/>
    </row>
    <row r="293">
      <c r="J293" s="152"/>
      <c r="L293" s="290"/>
      <c r="O293" s="107"/>
      <c r="P293" s="151"/>
    </row>
    <row r="294">
      <c r="J294" s="152"/>
      <c r="L294" s="290"/>
      <c r="O294" s="107"/>
      <c r="P294" s="151"/>
    </row>
    <row r="295">
      <c r="J295" s="152"/>
      <c r="L295" s="290"/>
      <c r="O295" s="107"/>
      <c r="P295" s="151"/>
    </row>
    <row r="296">
      <c r="J296" s="152"/>
      <c r="L296" s="290"/>
      <c r="O296" s="107"/>
      <c r="P296" s="151"/>
    </row>
    <row r="297">
      <c r="J297" s="152"/>
      <c r="L297" s="290"/>
      <c r="O297" s="107"/>
      <c r="P297" s="151"/>
    </row>
    <row r="298">
      <c r="J298" s="152"/>
      <c r="L298" s="290"/>
      <c r="O298" s="107"/>
      <c r="P298" s="151"/>
    </row>
    <row r="299">
      <c r="J299" s="152"/>
      <c r="L299" s="290"/>
      <c r="O299" s="107"/>
      <c r="P299" s="151"/>
    </row>
    <row r="300">
      <c r="J300" s="152"/>
      <c r="L300" s="290"/>
      <c r="O300" s="107"/>
      <c r="P300" s="151"/>
    </row>
    <row r="301">
      <c r="J301" s="152"/>
      <c r="L301" s="290"/>
      <c r="O301" s="107"/>
      <c r="P301" s="151"/>
    </row>
    <row r="302">
      <c r="J302" s="152"/>
      <c r="L302" s="290"/>
      <c r="O302" s="107"/>
      <c r="P302" s="151"/>
    </row>
    <row r="303">
      <c r="J303" s="152"/>
      <c r="L303" s="290"/>
      <c r="O303" s="107"/>
      <c r="P303" s="151"/>
    </row>
    <row r="304">
      <c r="J304" s="152"/>
      <c r="L304" s="290"/>
      <c r="O304" s="107"/>
      <c r="P304" s="151"/>
    </row>
    <row r="305">
      <c r="J305" s="152"/>
      <c r="L305" s="290"/>
      <c r="O305" s="107"/>
      <c r="P305" s="151"/>
    </row>
    <row r="306">
      <c r="J306" s="152"/>
      <c r="L306" s="290"/>
      <c r="O306" s="107"/>
      <c r="P306" s="151"/>
    </row>
    <row r="307">
      <c r="J307" s="152"/>
      <c r="L307" s="290"/>
      <c r="O307" s="107"/>
      <c r="P307" s="151"/>
    </row>
    <row r="308">
      <c r="J308" s="152"/>
      <c r="L308" s="290"/>
      <c r="O308" s="107"/>
      <c r="P308" s="151"/>
    </row>
    <row r="309">
      <c r="J309" s="152"/>
      <c r="L309" s="290"/>
      <c r="O309" s="107"/>
      <c r="P309" s="151"/>
    </row>
    <row r="310">
      <c r="J310" s="152"/>
      <c r="L310" s="290"/>
      <c r="O310" s="107"/>
      <c r="P310" s="151"/>
    </row>
    <row r="311">
      <c r="J311" s="152"/>
      <c r="L311" s="290"/>
      <c r="O311" s="107"/>
      <c r="P311" s="151"/>
    </row>
    <row r="312">
      <c r="J312" s="152"/>
      <c r="L312" s="290"/>
      <c r="O312" s="107"/>
      <c r="P312" s="151"/>
    </row>
    <row r="313">
      <c r="J313" s="152"/>
      <c r="L313" s="290"/>
      <c r="O313" s="107"/>
      <c r="P313" s="151"/>
    </row>
    <row r="314">
      <c r="J314" s="152"/>
      <c r="L314" s="290"/>
      <c r="O314" s="107"/>
      <c r="P314" s="151"/>
    </row>
    <row r="315">
      <c r="J315" s="152"/>
      <c r="L315" s="290"/>
      <c r="O315" s="107"/>
      <c r="P315" s="151"/>
    </row>
    <row r="316">
      <c r="J316" s="152"/>
      <c r="L316" s="290"/>
      <c r="O316" s="107"/>
      <c r="P316" s="151"/>
    </row>
    <row r="317">
      <c r="J317" s="152"/>
      <c r="L317" s="290"/>
      <c r="O317" s="107"/>
      <c r="P317" s="151"/>
    </row>
    <row r="318">
      <c r="J318" s="152"/>
      <c r="L318" s="290"/>
      <c r="O318" s="107"/>
      <c r="P318" s="151"/>
    </row>
    <row r="319">
      <c r="J319" s="152"/>
      <c r="L319" s="290"/>
      <c r="O319" s="107"/>
      <c r="P319" s="151"/>
    </row>
    <row r="320">
      <c r="J320" s="152"/>
      <c r="L320" s="290"/>
      <c r="O320" s="107"/>
      <c r="P320" s="151"/>
    </row>
    <row r="321">
      <c r="J321" s="152"/>
      <c r="L321" s="290"/>
      <c r="O321" s="107"/>
      <c r="P321" s="151"/>
    </row>
    <row r="322">
      <c r="J322" s="152"/>
      <c r="L322" s="290"/>
      <c r="O322" s="107"/>
      <c r="P322" s="151"/>
    </row>
    <row r="323">
      <c r="J323" s="152"/>
      <c r="L323" s="290"/>
      <c r="O323" s="107"/>
      <c r="P323" s="151"/>
    </row>
    <row r="324">
      <c r="J324" s="152"/>
      <c r="L324" s="290"/>
      <c r="O324" s="107"/>
      <c r="P324" s="151"/>
    </row>
    <row r="325">
      <c r="J325" s="152"/>
      <c r="L325" s="290"/>
      <c r="O325" s="107"/>
      <c r="P325" s="151"/>
    </row>
    <row r="326">
      <c r="J326" s="152"/>
      <c r="L326" s="290"/>
      <c r="O326" s="107"/>
      <c r="P326" s="151"/>
    </row>
    <row r="327">
      <c r="J327" s="152"/>
      <c r="L327" s="290"/>
      <c r="O327" s="107"/>
      <c r="P327" s="151"/>
    </row>
    <row r="328">
      <c r="J328" s="152"/>
      <c r="L328" s="290"/>
      <c r="O328" s="107"/>
      <c r="P328" s="151"/>
    </row>
    <row r="329">
      <c r="J329" s="152"/>
      <c r="L329" s="290"/>
      <c r="O329" s="107"/>
      <c r="P329" s="151"/>
    </row>
    <row r="330">
      <c r="J330" s="152"/>
      <c r="L330" s="290"/>
      <c r="O330" s="107"/>
      <c r="P330" s="151"/>
    </row>
    <row r="331">
      <c r="J331" s="152"/>
      <c r="L331" s="290"/>
      <c r="O331" s="107"/>
      <c r="P331" s="151"/>
    </row>
    <row r="332">
      <c r="J332" s="152"/>
      <c r="L332" s="290"/>
      <c r="O332" s="107"/>
      <c r="P332" s="151"/>
    </row>
    <row r="333">
      <c r="J333" s="152"/>
      <c r="L333" s="290"/>
      <c r="O333" s="107"/>
      <c r="P333" s="151"/>
    </row>
    <row r="334">
      <c r="J334" s="152"/>
      <c r="L334" s="290"/>
      <c r="O334" s="107"/>
      <c r="P334" s="151"/>
    </row>
    <row r="335">
      <c r="J335" s="152"/>
      <c r="L335" s="290"/>
      <c r="O335" s="107"/>
      <c r="P335" s="151"/>
    </row>
    <row r="336">
      <c r="J336" s="152"/>
      <c r="L336" s="290"/>
      <c r="O336" s="107"/>
      <c r="P336" s="151"/>
    </row>
    <row r="337">
      <c r="J337" s="152"/>
      <c r="L337" s="290"/>
      <c r="O337" s="107"/>
      <c r="P337" s="151"/>
    </row>
    <row r="338">
      <c r="J338" s="152"/>
      <c r="L338" s="290"/>
      <c r="O338" s="107"/>
      <c r="P338" s="151"/>
    </row>
    <row r="339">
      <c r="J339" s="152"/>
      <c r="L339" s="290"/>
      <c r="O339" s="107"/>
      <c r="P339" s="151"/>
    </row>
    <row r="340">
      <c r="J340" s="152"/>
      <c r="L340" s="290"/>
      <c r="O340" s="107"/>
      <c r="P340" s="151"/>
    </row>
    <row r="341">
      <c r="J341" s="152"/>
      <c r="L341" s="290"/>
      <c r="O341" s="107"/>
      <c r="P341" s="151"/>
    </row>
    <row r="342">
      <c r="J342" s="152"/>
      <c r="L342" s="290"/>
      <c r="O342" s="107"/>
      <c r="P342" s="151"/>
    </row>
    <row r="343">
      <c r="J343" s="152"/>
      <c r="L343" s="290"/>
      <c r="O343" s="107"/>
      <c r="P343" s="151"/>
    </row>
    <row r="344">
      <c r="J344" s="152"/>
      <c r="L344" s="290"/>
      <c r="O344" s="107"/>
      <c r="P344" s="151"/>
    </row>
    <row r="345">
      <c r="J345" s="152"/>
      <c r="L345" s="290"/>
      <c r="O345" s="107"/>
      <c r="P345" s="151"/>
    </row>
    <row r="346">
      <c r="J346" s="152"/>
      <c r="L346" s="290"/>
      <c r="O346" s="107"/>
      <c r="P346" s="151"/>
    </row>
    <row r="347">
      <c r="J347" s="152"/>
      <c r="L347" s="290"/>
      <c r="O347" s="107"/>
      <c r="P347" s="151"/>
    </row>
    <row r="348">
      <c r="J348" s="152"/>
      <c r="L348" s="290"/>
      <c r="O348" s="107"/>
      <c r="P348" s="151"/>
    </row>
    <row r="349">
      <c r="J349" s="152"/>
      <c r="L349" s="290"/>
      <c r="O349" s="107"/>
      <c r="P349" s="151"/>
    </row>
    <row r="350">
      <c r="J350" s="152"/>
      <c r="L350" s="290"/>
      <c r="O350" s="107"/>
      <c r="P350" s="151"/>
    </row>
    <row r="351">
      <c r="J351" s="152"/>
      <c r="L351" s="290"/>
      <c r="O351" s="107"/>
      <c r="P351" s="151"/>
    </row>
    <row r="352">
      <c r="J352" s="152"/>
      <c r="L352" s="290"/>
      <c r="O352" s="107"/>
      <c r="P352" s="151"/>
    </row>
    <row r="353">
      <c r="J353" s="152"/>
      <c r="L353" s="290"/>
      <c r="O353" s="107"/>
      <c r="P353" s="151"/>
    </row>
    <row r="354">
      <c r="J354" s="152"/>
      <c r="L354" s="290"/>
      <c r="O354" s="107"/>
      <c r="P354" s="151"/>
    </row>
    <row r="355">
      <c r="J355" s="152"/>
      <c r="L355" s="290"/>
      <c r="O355" s="107"/>
      <c r="P355" s="151"/>
    </row>
    <row r="356">
      <c r="J356" s="152"/>
      <c r="L356" s="290"/>
      <c r="O356" s="107"/>
      <c r="P356" s="151"/>
    </row>
    <row r="357">
      <c r="J357" s="152"/>
      <c r="L357" s="290"/>
      <c r="O357" s="107"/>
      <c r="P357" s="151"/>
    </row>
    <row r="358">
      <c r="J358" s="152"/>
      <c r="L358" s="290"/>
      <c r="O358" s="107"/>
      <c r="P358" s="151"/>
    </row>
    <row r="359">
      <c r="J359" s="152"/>
      <c r="L359" s="290"/>
      <c r="O359" s="107"/>
      <c r="P359" s="151"/>
    </row>
    <row r="360">
      <c r="J360" s="152"/>
      <c r="L360" s="290"/>
      <c r="O360" s="107"/>
      <c r="P360" s="151"/>
    </row>
    <row r="361">
      <c r="J361" s="152"/>
      <c r="L361" s="290"/>
      <c r="O361" s="107"/>
      <c r="P361" s="151"/>
    </row>
    <row r="362">
      <c r="J362" s="152"/>
      <c r="L362" s="290"/>
      <c r="O362" s="107"/>
      <c r="P362" s="151"/>
    </row>
    <row r="363">
      <c r="J363" s="152"/>
      <c r="L363" s="290"/>
      <c r="O363" s="107"/>
      <c r="P363" s="151"/>
    </row>
    <row r="364">
      <c r="J364" s="152"/>
      <c r="L364" s="290"/>
      <c r="O364" s="107"/>
      <c r="P364" s="151"/>
    </row>
    <row r="365">
      <c r="J365" s="152"/>
      <c r="L365" s="290"/>
      <c r="O365" s="107"/>
      <c r="P365" s="151"/>
    </row>
    <row r="366">
      <c r="J366" s="152"/>
      <c r="L366" s="290"/>
      <c r="O366" s="107"/>
      <c r="P366" s="151"/>
    </row>
    <row r="367">
      <c r="J367" s="152"/>
      <c r="L367" s="290"/>
      <c r="O367" s="107"/>
      <c r="P367" s="151"/>
    </row>
    <row r="368">
      <c r="J368" s="152"/>
      <c r="L368" s="290"/>
      <c r="O368" s="107"/>
      <c r="P368" s="151"/>
    </row>
    <row r="369">
      <c r="J369" s="152"/>
      <c r="L369" s="290"/>
      <c r="O369" s="107"/>
      <c r="P369" s="151"/>
    </row>
    <row r="370">
      <c r="J370" s="152"/>
      <c r="L370" s="290"/>
      <c r="O370" s="107"/>
      <c r="P370" s="151"/>
    </row>
    <row r="371">
      <c r="J371" s="152"/>
      <c r="L371" s="290"/>
      <c r="O371" s="107"/>
      <c r="P371" s="151"/>
    </row>
    <row r="372">
      <c r="J372" s="152"/>
      <c r="L372" s="290"/>
      <c r="O372" s="107"/>
      <c r="P372" s="151"/>
    </row>
    <row r="373">
      <c r="J373" s="152"/>
      <c r="L373" s="290"/>
      <c r="O373" s="107"/>
      <c r="P373" s="151"/>
    </row>
    <row r="374">
      <c r="J374" s="152"/>
      <c r="L374" s="290"/>
      <c r="O374" s="107"/>
      <c r="P374" s="151"/>
    </row>
    <row r="375">
      <c r="J375" s="152"/>
      <c r="L375" s="290"/>
      <c r="O375" s="107"/>
      <c r="P375" s="151"/>
    </row>
    <row r="376">
      <c r="J376" s="152"/>
      <c r="L376" s="290"/>
      <c r="O376" s="107"/>
      <c r="P376" s="151"/>
    </row>
    <row r="377">
      <c r="J377" s="152"/>
      <c r="L377" s="290"/>
      <c r="O377" s="107"/>
      <c r="P377" s="151"/>
    </row>
    <row r="378">
      <c r="J378" s="152"/>
      <c r="L378" s="290"/>
      <c r="O378" s="107"/>
      <c r="P378" s="151"/>
    </row>
    <row r="379">
      <c r="J379" s="152"/>
      <c r="L379" s="290"/>
      <c r="O379" s="107"/>
      <c r="P379" s="151"/>
    </row>
    <row r="380">
      <c r="J380" s="152"/>
      <c r="L380" s="290"/>
      <c r="O380" s="107"/>
      <c r="P380" s="151"/>
    </row>
    <row r="381">
      <c r="J381" s="152"/>
      <c r="L381" s="290"/>
      <c r="O381" s="107"/>
      <c r="P381" s="151"/>
    </row>
    <row r="382">
      <c r="J382" s="152"/>
      <c r="L382" s="290"/>
      <c r="O382" s="107"/>
      <c r="P382" s="151"/>
    </row>
    <row r="383">
      <c r="J383" s="152"/>
      <c r="L383" s="290"/>
      <c r="O383" s="107"/>
      <c r="P383" s="151"/>
    </row>
    <row r="384">
      <c r="J384" s="152"/>
      <c r="L384" s="290"/>
      <c r="O384" s="107"/>
      <c r="P384" s="151"/>
    </row>
    <row r="385">
      <c r="J385" s="152"/>
      <c r="L385" s="290"/>
      <c r="O385" s="107"/>
      <c r="P385" s="151"/>
    </row>
    <row r="386">
      <c r="J386" s="152"/>
      <c r="L386" s="290"/>
      <c r="O386" s="107"/>
      <c r="P386" s="151"/>
    </row>
    <row r="387">
      <c r="J387" s="152"/>
      <c r="L387" s="290"/>
      <c r="O387" s="107"/>
      <c r="P387" s="151"/>
    </row>
    <row r="388">
      <c r="J388" s="152"/>
      <c r="L388" s="290"/>
      <c r="O388" s="107"/>
      <c r="P388" s="151"/>
    </row>
    <row r="389">
      <c r="J389" s="152"/>
      <c r="L389" s="290"/>
      <c r="O389" s="107"/>
      <c r="P389" s="151"/>
    </row>
    <row r="390">
      <c r="J390" s="152"/>
      <c r="L390" s="290"/>
      <c r="O390" s="107"/>
      <c r="P390" s="151"/>
    </row>
    <row r="391">
      <c r="J391" s="152"/>
      <c r="L391" s="290"/>
      <c r="O391" s="107"/>
      <c r="P391" s="151"/>
    </row>
    <row r="392">
      <c r="J392" s="152"/>
      <c r="L392" s="290"/>
      <c r="O392" s="107"/>
      <c r="P392" s="151"/>
    </row>
    <row r="393">
      <c r="J393" s="152"/>
      <c r="L393" s="290"/>
      <c r="O393" s="107"/>
      <c r="P393" s="151"/>
    </row>
    <row r="394">
      <c r="J394" s="152"/>
      <c r="L394" s="290"/>
      <c r="O394" s="107"/>
      <c r="P394" s="151"/>
    </row>
    <row r="395">
      <c r="J395" s="152"/>
      <c r="L395" s="290"/>
      <c r="O395" s="107"/>
      <c r="P395" s="151"/>
    </row>
    <row r="396">
      <c r="J396" s="152"/>
      <c r="L396" s="290"/>
      <c r="O396" s="107"/>
      <c r="P396" s="151"/>
    </row>
    <row r="397">
      <c r="J397" s="152"/>
      <c r="L397" s="290"/>
      <c r="O397" s="107"/>
      <c r="P397" s="151"/>
    </row>
    <row r="398">
      <c r="J398" s="152"/>
      <c r="L398" s="290"/>
      <c r="O398" s="107"/>
      <c r="P398" s="151"/>
    </row>
    <row r="399">
      <c r="J399" s="152"/>
      <c r="L399" s="290"/>
      <c r="O399" s="107"/>
      <c r="P399" s="151"/>
    </row>
    <row r="400">
      <c r="J400" s="152"/>
      <c r="L400" s="290"/>
      <c r="O400" s="107"/>
      <c r="P400" s="151"/>
    </row>
    <row r="401">
      <c r="J401" s="152"/>
      <c r="L401" s="290"/>
      <c r="O401" s="107"/>
      <c r="P401" s="151"/>
    </row>
    <row r="402">
      <c r="J402" s="152"/>
      <c r="L402" s="290"/>
      <c r="O402" s="107"/>
      <c r="P402" s="151"/>
    </row>
    <row r="403">
      <c r="J403" s="152"/>
      <c r="L403" s="290"/>
      <c r="O403" s="107"/>
      <c r="P403" s="151"/>
    </row>
    <row r="404">
      <c r="J404" s="152"/>
      <c r="L404" s="290"/>
      <c r="O404" s="107"/>
      <c r="P404" s="151"/>
    </row>
    <row r="405">
      <c r="J405" s="152"/>
      <c r="L405" s="290"/>
      <c r="O405" s="107"/>
      <c r="P405" s="151"/>
    </row>
    <row r="406">
      <c r="J406" s="152"/>
      <c r="L406" s="290"/>
      <c r="O406" s="107"/>
      <c r="P406" s="151"/>
    </row>
    <row r="407">
      <c r="J407" s="152"/>
      <c r="L407" s="290"/>
      <c r="O407" s="107"/>
      <c r="P407" s="151"/>
    </row>
    <row r="408">
      <c r="J408" s="152"/>
      <c r="L408" s="290"/>
      <c r="O408" s="107"/>
      <c r="P408" s="151"/>
    </row>
    <row r="409">
      <c r="J409" s="152"/>
      <c r="L409" s="290"/>
      <c r="O409" s="107"/>
      <c r="P409" s="151"/>
    </row>
    <row r="410">
      <c r="J410" s="152"/>
      <c r="L410" s="290"/>
      <c r="O410" s="107"/>
      <c r="P410" s="151"/>
    </row>
    <row r="411">
      <c r="J411" s="152"/>
      <c r="L411" s="290"/>
      <c r="O411" s="107"/>
      <c r="P411" s="151"/>
    </row>
    <row r="412">
      <c r="J412" s="152"/>
      <c r="L412" s="290"/>
      <c r="O412" s="107"/>
      <c r="P412" s="151"/>
    </row>
    <row r="413">
      <c r="J413" s="152"/>
      <c r="L413" s="290"/>
      <c r="O413" s="107"/>
      <c r="P413" s="151"/>
    </row>
    <row r="414">
      <c r="J414" s="152"/>
      <c r="L414" s="290"/>
      <c r="O414" s="107"/>
      <c r="P414" s="151"/>
    </row>
    <row r="415">
      <c r="J415" s="152"/>
      <c r="L415" s="290"/>
      <c r="O415" s="107"/>
      <c r="P415" s="151"/>
    </row>
    <row r="416">
      <c r="J416" s="152"/>
      <c r="L416" s="290"/>
      <c r="O416" s="107"/>
      <c r="P416" s="151"/>
    </row>
    <row r="417">
      <c r="J417" s="152"/>
      <c r="L417" s="290"/>
      <c r="O417" s="107"/>
      <c r="P417" s="151"/>
    </row>
    <row r="418">
      <c r="J418" s="152"/>
      <c r="L418" s="290"/>
      <c r="O418" s="107"/>
      <c r="P418" s="151"/>
    </row>
    <row r="419">
      <c r="J419" s="152"/>
      <c r="L419" s="290"/>
      <c r="O419" s="107"/>
      <c r="P419" s="151"/>
    </row>
    <row r="420">
      <c r="J420" s="152"/>
      <c r="L420" s="290"/>
      <c r="O420" s="107"/>
      <c r="P420" s="151"/>
    </row>
    <row r="421">
      <c r="J421" s="152"/>
      <c r="L421" s="290"/>
      <c r="O421" s="107"/>
      <c r="P421" s="151"/>
    </row>
    <row r="422">
      <c r="J422" s="152"/>
      <c r="L422" s="290"/>
      <c r="O422" s="107"/>
      <c r="P422" s="151"/>
    </row>
    <row r="423">
      <c r="J423" s="152"/>
      <c r="L423" s="290"/>
      <c r="O423" s="107"/>
      <c r="P423" s="151"/>
    </row>
    <row r="424">
      <c r="J424" s="152"/>
      <c r="L424" s="290"/>
      <c r="O424" s="107"/>
      <c r="P424" s="151"/>
    </row>
    <row r="425">
      <c r="J425" s="152"/>
      <c r="L425" s="290"/>
      <c r="O425" s="107"/>
      <c r="P425" s="151"/>
    </row>
    <row r="426">
      <c r="J426" s="152"/>
      <c r="L426" s="290"/>
      <c r="O426" s="107"/>
      <c r="P426" s="151"/>
    </row>
    <row r="427">
      <c r="J427" s="152"/>
      <c r="L427" s="290"/>
      <c r="O427" s="107"/>
      <c r="P427" s="151"/>
    </row>
    <row r="428">
      <c r="J428" s="152"/>
      <c r="L428" s="290"/>
      <c r="O428" s="107"/>
      <c r="P428" s="151"/>
    </row>
    <row r="429">
      <c r="J429" s="152"/>
      <c r="L429" s="290"/>
      <c r="O429" s="107"/>
      <c r="P429" s="151"/>
    </row>
    <row r="430">
      <c r="J430" s="152"/>
      <c r="L430" s="290"/>
      <c r="O430" s="107"/>
      <c r="P430" s="151"/>
    </row>
    <row r="431">
      <c r="J431" s="152"/>
      <c r="L431" s="290"/>
      <c r="O431" s="107"/>
      <c r="P431" s="151"/>
    </row>
    <row r="432">
      <c r="J432" s="152"/>
      <c r="L432" s="290"/>
      <c r="O432" s="107"/>
      <c r="P432" s="151"/>
    </row>
    <row r="433">
      <c r="J433" s="152"/>
      <c r="L433" s="290"/>
      <c r="O433" s="107"/>
      <c r="P433" s="151"/>
    </row>
    <row r="434">
      <c r="J434" s="152"/>
      <c r="L434" s="290"/>
      <c r="O434" s="107"/>
      <c r="P434" s="151"/>
    </row>
    <row r="435">
      <c r="J435" s="152"/>
      <c r="L435" s="290"/>
      <c r="O435" s="107"/>
      <c r="P435" s="151"/>
    </row>
    <row r="436">
      <c r="J436" s="152"/>
      <c r="L436" s="290"/>
      <c r="O436" s="107"/>
      <c r="P436" s="151"/>
    </row>
    <row r="437">
      <c r="J437" s="152"/>
      <c r="L437" s="290"/>
      <c r="O437" s="107"/>
      <c r="P437" s="151"/>
    </row>
    <row r="438">
      <c r="J438" s="152"/>
      <c r="L438" s="290"/>
      <c r="O438" s="107"/>
      <c r="P438" s="151"/>
    </row>
    <row r="439">
      <c r="J439" s="152"/>
      <c r="L439" s="290"/>
      <c r="O439" s="107"/>
      <c r="P439" s="151"/>
    </row>
    <row r="440">
      <c r="J440" s="152"/>
      <c r="L440" s="290"/>
      <c r="O440" s="107"/>
      <c r="P440" s="151"/>
    </row>
    <row r="441">
      <c r="J441" s="152"/>
      <c r="L441" s="290"/>
      <c r="O441" s="107"/>
      <c r="P441" s="151"/>
    </row>
    <row r="442">
      <c r="J442" s="152"/>
      <c r="L442" s="290"/>
      <c r="O442" s="107"/>
      <c r="P442" s="151"/>
    </row>
    <row r="443">
      <c r="J443" s="152"/>
      <c r="L443" s="290"/>
      <c r="O443" s="107"/>
      <c r="P443" s="151"/>
    </row>
    <row r="444">
      <c r="J444" s="152"/>
      <c r="L444" s="290"/>
      <c r="O444" s="107"/>
      <c r="P444" s="151"/>
    </row>
    <row r="445">
      <c r="J445" s="152"/>
      <c r="L445" s="290"/>
      <c r="O445" s="107"/>
      <c r="P445" s="151"/>
    </row>
    <row r="446">
      <c r="J446" s="152"/>
      <c r="L446" s="290"/>
      <c r="O446" s="107"/>
      <c r="P446" s="151"/>
    </row>
    <row r="447">
      <c r="J447" s="152"/>
      <c r="L447" s="290"/>
      <c r="O447" s="107"/>
      <c r="P447" s="151"/>
    </row>
    <row r="448">
      <c r="J448" s="152"/>
      <c r="L448" s="290"/>
      <c r="O448" s="107"/>
      <c r="P448" s="151"/>
    </row>
    <row r="449">
      <c r="J449" s="152"/>
      <c r="L449" s="290"/>
      <c r="O449" s="107"/>
      <c r="P449" s="151"/>
    </row>
    <row r="450">
      <c r="J450" s="152"/>
      <c r="L450" s="290"/>
      <c r="O450" s="107"/>
      <c r="P450" s="151"/>
    </row>
    <row r="451">
      <c r="J451" s="152"/>
      <c r="L451" s="290"/>
      <c r="O451" s="107"/>
      <c r="P451" s="151"/>
    </row>
    <row r="452">
      <c r="J452" s="152"/>
      <c r="L452" s="290"/>
      <c r="O452" s="107"/>
      <c r="P452" s="151"/>
    </row>
    <row r="453">
      <c r="J453" s="152"/>
      <c r="L453" s="290"/>
      <c r="O453" s="107"/>
      <c r="P453" s="151"/>
    </row>
    <row r="454">
      <c r="J454" s="152"/>
      <c r="L454" s="290"/>
      <c r="O454" s="107"/>
      <c r="P454" s="151"/>
    </row>
    <row r="455">
      <c r="J455" s="152"/>
      <c r="L455" s="290"/>
      <c r="O455" s="107"/>
      <c r="P455" s="151"/>
    </row>
    <row r="456">
      <c r="J456" s="152"/>
      <c r="L456" s="290"/>
      <c r="O456" s="107"/>
      <c r="P456" s="151"/>
    </row>
    <row r="457">
      <c r="J457" s="152"/>
      <c r="L457" s="290"/>
      <c r="O457" s="107"/>
      <c r="P457" s="151"/>
    </row>
    <row r="458">
      <c r="J458" s="152"/>
      <c r="L458" s="290"/>
      <c r="O458" s="107"/>
      <c r="P458" s="151"/>
    </row>
    <row r="459">
      <c r="J459" s="152"/>
      <c r="L459" s="290"/>
      <c r="O459" s="107"/>
      <c r="P459" s="151"/>
    </row>
    <row r="460">
      <c r="J460" s="152"/>
      <c r="L460" s="290"/>
      <c r="O460" s="107"/>
      <c r="P460" s="151"/>
    </row>
    <row r="461">
      <c r="J461" s="152"/>
      <c r="L461" s="290"/>
      <c r="O461" s="107"/>
      <c r="P461" s="151"/>
    </row>
    <row r="462">
      <c r="J462" s="152"/>
      <c r="L462" s="290"/>
      <c r="O462" s="107"/>
      <c r="P462" s="151"/>
    </row>
    <row r="463">
      <c r="J463" s="152"/>
      <c r="L463" s="290"/>
      <c r="O463" s="107"/>
      <c r="P463" s="151"/>
    </row>
    <row r="464">
      <c r="J464" s="152"/>
      <c r="L464" s="290"/>
      <c r="O464" s="107"/>
      <c r="P464" s="151"/>
    </row>
    <row r="465">
      <c r="J465" s="152"/>
      <c r="L465" s="290"/>
      <c r="O465" s="107"/>
      <c r="P465" s="151"/>
    </row>
    <row r="466">
      <c r="J466" s="152"/>
      <c r="L466" s="290"/>
      <c r="O466" s="107"/>
      <c r="P466" s="151"/>
    </row>
    <row r="467">
      <c r="J467" s="152"/>
      <c r="L467" s="290"/>
      <c r="O467" s="107"/>
      <c r="P467" s="151"/>
    </row>
    <row r="468">
      <c r="J468" s="152"/>
      <c r="L468" s="290"/>
      <c r="O468" s="107"/>
      <c r="P468" s="151"/>
    </row>
    <row r="469">
      <c r="J469" s="152"/>
      <c r="L469" s="290"/>
      <c r="O469" s="107"/>
      <c r="P469" s="151"/>
    </row>
    <row r="470">
      <c r="J470" s="152"/>
      <c r="L470" s="290"/>
      <c r="O470" s="107"/>
      <c r="P470" s="151"/>
    </row>
    <row r="471">
      <c r="J471" s="152"/>
      <c r="L471" s="290"/>
      <c r="O471" s="107"/>
      <c r="P471" s="151"/>
    </row>
    <row r="472">
      <c r="J472" s="152"/>
      <c r="L472" s="290"/>
      <c r="O472" s="107"/>
      <c r="P472" s="151"/>
    </row>
    <row r="473">
      <c r="J473" s="152"/>
      <c r="L473" s="290"/>
      <c r="O473" s="107"/>
      <c r="P473" s="151"/>
    </row>
    <row r="474">
      <c r="J474" s="152"/>
      <c r="L474" s="290"/>
      <c r="O474" s="107"/>
      <c r="P474" s="151"/>
    </row>
    <row r="475">
      <c r="J475" s="152"/>
      <c r="L475" s="290"/>
      <c r="O475" s="107"/>
      <c r="P475" s="151"/>
    </row>
    <row r="476">
      <c r="J476" s="152"/>
      <c r="L476" s="290"/>
      <c r="O476" s="107"/>
      <c r="P476" s="151"/>
    </row>
    <row r="477">
      <c r="J477" s="152"/>
      <c r="L477" s="290"/>
      <c r="O477" s="107"/>
      <c r="P477" s="151"/>
    </row>
    <row r="478">
      <c r="J478" s="152"/>
      <c r="L478" s="290"/>
      <c r="O478" s="107"/>
      <c r="P478" s="151"/>
    </row>
    <row r="479">
      <c r="J479" s="152"/>
      <c r="L479" s="290"/>
      <c r="O479" s="107"/>
      <c r="P479" s="151"/>
    </row>
    <row r="480">
      <c r="J480" s="152"/>
      <c r="L480" s="290"/>
      <c r="O480" s="107"/>
      <c r="P480" s="151"/>
    </row>
    <row r="481">
      <c r="J481" s="152"/>
      <c r="L481" s="290"/>
      <c r="O481" s="107"/>
      <c r="P481" s="151"/>
    </row>
    <row r="482">
      <c r="J482" s="152"/>
      <c r="L482" s="290"/>
      <c r="O482" s="107"/>
      <c r="P482" s="151"/>
    </row>
    <row r="483">
      <c r="J483" s="152"/>
      <c r="L483" s="290"/>
      <c r="O483" s="107"/>
      <c r="P483" s="151"/>
    </row>
    <row r="484">
      <c r="J484" s="152"/>
      <c r="L484" s="290"/>
      <c r="O484" s="107"/>
      <c r="P484" s="151"/>
    </row>
    <row r="485">
      <c r="J485" s="152"/>
      <c r="L485" s="290"/>
      <c r="O485" s="107"/>
      <c r="P485" s="151"/>
    </row>
    <row r="486">
      <c r="J486" s="152"/>
      <c r="L486" s="290"/>
      <c r="O486" s="107"/>
      <c r="P486" s="151"/>
    </row>
    <row r="487">
      <c r="J487" s="152"/>
      <c r="L487" s="290"/>
      <c r="O487" s="107"/>
      <c r="P487" s="151"/>
    </row>
    <row r="488">
      <c r="J488" s="152"/>
      <c r="L488" s="290"/>
      <c r="O488" s="107"/>
      <c r="P488" s="151"/>
    </row>
    <row r="489">
      <c r="J489" s="152"/>
      <c r="L489" s="290"/>
      <c r="O489" s="107"/>
      <c r="P489" s="151"/>
    </row>
    <row r="490">
      <c r="J490" s="152"/>
      <c r="L490" s="290"/>
      <c r="O490" s="107"/>
      <c r="P490" s="151"/>
    </row>
    <row r="491">
      <c r="J491" s="152"/>
      <c r="L491" s="290"/>
      <c r="O491" s="107"/>
      <c r="P491" s="151"/>
    </row>
    <row r="492">
      <c r="J492" s="152"/>
      <c r="L492" s="290"/>
      <c r="O492" s="107"/>
      <c r="P492" s="151"/>
    </row>
    <row r="493">
      <c r="J493" s="152"/>
      <c r="L493" s="290"/>
      <c r="O493" s="107"/>
      <c r="P493" s="151"/>
    </row>
    <row r="494">
      <c r="J494" s="152"/>
      <c r="L494" s="290"/>
      <c r="O494" s="107"/>
      <c r="P494" s="151"/>
    </row>
    <row r="495">
      <c r="J495" s="152"/>
      <c r="L495" s="290"/>
      <c r="O495" s="107"/>
      <c r="P495" s="151"/>
    </row>
    <row r="496">
      <c r="J496" s="152"/>
      <c r="L496" s="290"/>
      <c r="O496" s="107"/>
      <c r="P496" s="151"/>
    </row>
    <row r="497">
      <c r="J497" s="152"/>
      <c r="L497" s="290"/>
      <c r="O497" s="107"/>
      <c r="P497" s="151"/>
    </row>
    <row r="498">
      <c r="J498" s="152"/>
      <c r="L498" s="290"/>
      <c r="O498" s="107"/>
      <c r="P498" s="151"/>
    </row>
    <row r="499">
      <c r="J499" s="152"/>
      <c r="L499" s="290"/>
      <c r="O499" s="107"/>
      <c r="P499" s="151"/>
    </row>
    <row r="500">
      <c r="J500" s="152"/>
      <c r="L500" s="290"/>
      <c r="O500" s="107"/>
      <c r="P500" s="151"/>
    </row>
    <row r="501">
      <c r="J501" s="152"/>
      <c r="L501" s="290"/>
      <c r="O501" s="107"/>
      <c r="P501" s="151"/>
    </row>
    <row r="502">
      <c r="J502" s="152"/>
      <c r="L502" s="290"/>
      <c r="O502" s="107"/>
      <c r="P502" s="151"/>
    </row>
    <row r="503">
      <c r="J503" s="152"/>
      <c r="L503" s="290"/>
      <c r="O503" s="107"/>
      <c r="P503" s="151"/>
    </row>
    <row r="504">
      <c r="J504" s="152"/>
      <c r="L504" s="290"/>
      <c r="O504" s="107"/>
      <c r="P504" s="151"/>
    </row>
    <row r="505">
      <c r="J505" s="152"/>
      <c r="L505" s="290"/>
      <c r="O505" s="107"/>
      <c r="P505" s="151"/>
    </row>
    <row r="506">
      <c r="J506" s="152"/>
      <c r="L506" s="290"/>
      <c r="O506" s="107"/>
      <c r="P506" s="151"/>
    </row>
    <row r="507">
      <c r="J507" s="152"/>
      <c r="L507" s="290"/>
      <c r="O507" s="107"/>
      <c r="P507" s="151"/>
    </row>
    <row r="508">
      <c r="J508" s="152"/>
      <c r="L508" s="290"/>
      <c r="O508" s="107"/>
      <c r="P508" s="151"/>
    </row>
    <row r="509">
      <c r="J509" s="152"/>
      <c r="L509" s="290"/>
      <c r="O509" s="107"/>
      <c r="P509" s="151"/>
    </row>
    <row r="510">
      <c r="J510" s="152"/>
      <c r="L510" s="290"/>
      <c r="O510" s="107"/>
      <c r="P510" s="151"/>
    </row>
    <row r="511">
      <c r="J511" s="152"/>
      <c r="L511" s="290"/>
      <c r="O511" s="107"/>
      <c r="P511" s="151"/>
    </row>
    <row r="512">
      <c r="J512" s="152"/>
      <c r="L512" s="290"/>
      <c r="O512" s="107"/>
      <c r="P512" s="151"/>
    </row>
    <row r="513">
      <c r="J513" s="152"/>
      <c r="L513" s="290"/>
      <c r="O513" s="107"/>
      <c r="P513" s="151"/>
    </row>
    <row r="514">
      <c r="J514" s="152"/>
      <c r="L514" s="290"/>
      <c r="O514" s="107"/>
      <c r="P514" s="151"/>
    </row>
    <row r="515">
      <c r="J515" s="152"/>
      <c r="L515" s="290"/>
      <c r="O515" s="107"/>
      <c r="P515" s="151"/>
    </row>
    <row r="516">
      <c r="J516" s="152"/>
      <c r="L516" s="290"/>
      <c r="O516" s="107"/>
      <c r="P516" s="151"/>
    </row>
    <row r="517">
      <c r="J517" s="152"/>
      <c r="L517" s="290"/>
      <c r="O517" s="107"/>
      <c r="P517" s="151"/>
    </row>
    <row r="518">
      <c r="J518" s="152"/>
      <c r="L518" s="290"/>
      <c r="O518" s="107"/>
      <c r="P518" s="151"/>
    </row>
    <row r="519">
      <c r="J519" s="152"/>
      <c r="L519" s="290"/>
      <c r="O519" s="107"/>
      <c r="P519" s="151"/>
    </row>
    <row r="520">
      <c r="J520" s="152"/>
      <c r="L520" s="290"/>
      <c r="O520" s="107"/>
      <c r="P520" s="151"/>
    </row>
    <row r="521">
      <c r="J521" s="152"/>
      <c r="L521" s="290"/>
      <c r="O521" s="107"/>
      <c r="P521" s="151"/>
    </row>
    <row r="522">
      <c r="J522" s="152"/>
      <c r="L522" s="290"/>
      <c r="O522" s="107"/>
      <c r="P522" s="151"/>
    </row>
    <row r="523">
      <c r="J523" s="152"/>
      <c r="L523" s="290"/>
      <c r="O523" s="107"/>
      <c r="P523" s="151"/>
    </row>
    <row r="524">
      <c r="J524" s="152"/>
      <c r="L524" s="290"/>
      <c r="O524" s="107"/>
      <c r="P524" s="151"/>
    </row>
    <row r="525">
      <c r="J525" s="152"/>
      <c r="L525" s="290"/>
      <c r="O525" s="107"/>
      <c r="P525" s="151"/>
    </row>
    <row r="526">
      <c r="J526" s="152"/>
      <c r="L526" s="290"/>
      <c r="O526" s="107"/>
      <c r="P526" s="151"/>
    </row>
    <row r="527">
      <c r="J527" s="152"/>
      <c r="L527" s="290"/>
      <c r="O527" s="107"/>
      <c r="P527" s="151"/>
    </row>
    <row r="528">
      <c r="J528" s="152"/>
      <c r="L528" s="290"/>
      <c r="O528" s="107"/>
      <c r="P528" s="151"/>
    </row>
    <row r="529">
      <c r="J529" s="152"/>
      <c r="L529" s="290"/>
      <c r="O529" s="107"/>
      <c r="P529" s="151"/>
    </row>
    <row r="530">
      <c r="J530" s="152"/>
      <c r="L530" s="290"/>
      <c r="O530" s="107"/>
      <c r="P530" s="151"/>
    </row>
    <row r="531">
      <c r="J531" s="152"/>
      <c r="L531" s="290"/>
      <c r="O531" s="107"/>
      <c r="P531" s="151"/>
    </row>
    <row r="532">
      <c r="J532" s="152"/>
      <c r="L532" s="290"/>
      <c r="O532" s="107"/>
      <c r="P532" s="151"/>
    </row>
    <row r="533">
      <c r="J533" s="152"/>
      <c r="L533" s="290"/>
      <c r="O533" s="107"/>
      <c r="P533" s="151"/>
    </row>
    <row r="534">
      <c r="J534" s="152"/>
      <c r="L534" s="290"/>
      <c r="O534" s="107"/>
      <c r="P534" s="151"/>
    </row>
    <row r="535">
      <c r="J535" s="152"/>
      <c r="L535" s="290"/>
      <c r="O535" s="107"/>
      <c r="P535" s="151"/>
    </row>
    <row r="536">
      <c r="J536" s="152"/>
      <c r="L536" s="290"/>
      <c r="O536" s="107"/>
      <c r="P536" s="151"/>
    </row>
    <row r="537">
      <c r="J537" s="152"/>
      <c r="L537" s="290"/>
      <c r="O537" s="107"/>
      <c r="P537" s="151"/>
    </row>
    <row r="538">
      <c r="J538" s="152"/>
      <c r="L538" s="290"/>
      <c r="O538" s="107"/>
      <c r="P538" s="151"/>
    </row>
    <row r="539">
      <c r="J539" s="152"/>
      <c r="L539" s="290"/>
      <c r="O539" s="107"/>
      <c r="P539" s="151"/>
    </row>
    <row r="540">
      <c r="J540" s="152"/>
      <c r="L540" s="290"/>
      <c r="O540" s="107"/>
      <c r="P540" s="151"/>
    </row>
    <row r="541">
      <c r="J541" s="152"/>
      <c r="L541" s="290"/>
      <c r="O541" s="107"/>
      <c r="P541" s="151"/>
    </row>
    <row r="542">
      <c r="J542" s="152"/>
      <c r="L542" s="290"/>
      <c r="O542" s="107"/>
      <c r="P542" s="151"/>
    </row>
    <row r="543">
      <c r="J543" s="152"/>
      <c r="L543" s="290"/>
      <c r="O543" s="107"/>
      <c r="P543" s="151"/>
    </row>
    <row r="544">
      <c r="J544" s="152"/>
      <c r="L544" s="290"/>
      <c r="O544" s="107"/>
      <c r="P544" s="151"/>
    </row>
    <row r="545">
      <c r="J545" s="152"/>
      <c r="L545" s="290"/>
      <c r="O545" s="107"/>
      <c r="P545" s="151"/>
    </row>
    <row r="546">
      <c r="J546" s="152"/>
      <c r="L546" s="290"/>
      <c r="O546" s="107"/>
      <c r="P546" s="151"/>
    </row>
    <row r="547">
      <c r="J547" s="152"/>
      <c r="L547" s="290"/>
      <c r="O547" s="107"/>
      <c r="P547" s="151"/>
    </row>
    <row r="548">
      <c r="J548" s="152"/>
      <c r="L548" s="290"/>
      <c r="O548" s="107"/>
      <c r="P548" s="151"/>
    </row>
    <row r="549">
      <c r="J549" s="152"/>
      <c r="L549" s="290"/>
      <c r="O549" s="107"/>
      <c r="P549" s="151"/>
    </row>
    <row r="550">
      <c r="J550" s="152"/>
      <c r="L550" s="290"/>
      <c r="O550" s="107"/>
      <c r="P550" s="151"/>
    </row>
    <row r="551">
      <c r="J551" s="152"/>
      <c r="L551" s="290"/>
      <c r="O551" s="107"/>
      <c r="P551" s="151"/>
    </row>
    <row r="552">
      <c r="J552" s="152"/>
      <c r="L552" s="290"/>
      <c r="O552" s="107"/>
      <c r="P552" s="151"/>
    </row>
    <row r="553">
      <c r="J553" s="152"/>
      <c r="L553" s="290"/>
      <c r="O553" s="107"/>
      <c r="P553" s="151"/>
    </row>
    <row r="554">
      <c r="J554" s="152"/>
      <c r="L554" s="290"/>
      <c r="O554" s="107"/>
      <c r="P554" s="151"/>
    </row>
    <row r="555">
      <c r="J555" s="152"/>
      <c r="L555" s="290"/>
      <c r="O555" s="107"/>
      <c r="P555" s="151"/>
    </row>
    <row r="556">
      <c r="J556" s="152"/>
      <c r="L556" s="290"/>
      <c r="O556" s="107"/>
      <c r="P556" s="151"/>
    </row>
    <row r="557">
      <c r="J557" s="152"/>
      <c r="L557" s="290"/>
      <c r="O557" s="107"/>
      <c r="P557" s="151"/>
    </row>
    <row r="558">
      <c r="J558" s="152"/>
      <c r="L558" s="290"/>
      <c r="O558" s="107"/>
      <c r="P558" s="151"/>
    </row>
    <row r="559">
      <c r="J559" s="152"/>
      <c r="L559" s="290"/>
      <c r="O559" s="107"/>
      <c r="P559" s="151"/>
    </row>
    <row r="560">
      <c r="J560" s="152"/>
      <c r="L560" s="290"/>
      <c r="O560" s="107"/>
      <c r="P560" s="151"/>
    </row>
    <row r="561">
      <c r="J561" s="152"/>
      <c r="L561" s="290"/>
      <c r="O561" s="107"/>
      <c r="P561" s="151"/>
    </row>
    <row r="562">
      <c r="J562" s="152"/>
      <c r="L562" s="290"/>
      <c r="O562" s="107"/>
      <c r="P562" s="151"/>
    </row>
    <row r="563">
      <c r="J563" s="152"/>
      <c r="L563" s="290"/>
      <c r="O563" s="107"/>
      <c r="P563" s="151"/>
    </row>
    <row r="564">
      <c r="J564" s="152"/>
      <c r="L564" s="290"/>
      <c r="O564" s="107"/>
      <c r="P564" s="151"/>
    </row>
    <row r="565">
      <c r="J565" s="152"/>
      <c r="L565" s="290"/>
      <c r="O565" s="107"/>
      <c r="P565" s="151"/>
    </row>
    <row r="566">
      <c r="J566" s="152"/>
      <c r="L566" s="290"/>
      <c r="O566" s="107"/>
      <c r="P566" s="151"/>
    </row>
    <row r="567">
      <c r="J567" s="152"/>
      <c r="L567" s="290"/>
      <c r="O567" s="107"/>
      <c r="P567" s="151"/>
    </row>
    <row r="568">
      <c r="J568" s="152"/>
      <c r="L568" s="290"/>
      <c r="O568" s="107"/>
      <c r="P568" s="151"/>
    </row>
    <row r="569">
      <c r="J569" s="152"/>
      <c r="L569" s="290"/>
      <c r="O569" s="107"/>
      <c r="P569" s="151"/>
    </row>
    <row r="570">
      <c r="J570" s="152"/>
      <c r="L570" s="290"/>
      <c r="O570" s="107"/>
      <c r="P570" s="151"/>
    </row>
    <row r="571">
      <c r="J571" s="152"/>
      <c r="L571" s="290"/>
      <c r="O571" s="107"/>
      <c r="P571" s="151"/>
    </row>
    <row r="572">
      <c r="J572" s="152"/>
      <c r="L572" s="290"/>
      <c r="O572" s="107"/>
      <c r="P572" s="151"/>
    </row>
    <row r="573">
      <c r="J573" s="152"/>
      <c r="L573" s="290"/>
      <c r="O573" s="107"/>
      <c r="P573" s="151"/>
    </row>
    <row r="574">
      <c r="J574" s="152"/>
      <c r="L574" s="290"/>
      <c r="O574" s="107"/>
      <c r="P574" s="151"/>
    </row>
    <row r="575">
      <c r="J575" s="152"/>
      <c r="L575" s="290"/>
      <c r="O575" s="107"/>
      <c r="P575" s="151"/>
    </row>
    <row r="576">
      <c r="J576" s="152"/>
      <c r="L576" s="290"/>
      <c r="O576" s="107"/>
      <c r="P576" s="151"/>
    </row>
    <row r="577">
      <c r="J577" s="152"/>
      <c r="L577" s="290"/>
      <c r="O577" s="107"/>
      <c r="P577" s="151"/>
    </row>
    <row r="578">
      <c r="J578" s="152"/>
      <c r="L578" s="290"/>
      <c r="O578" s="107"/>
      <c r="P578" s="151"/>
    </row>
    <row r="579">
      <c r="J579" s="152"/>
      <c r="L579" s="290"/>
      <c r="O579" s="107"/>
      <c r="P579" s="151"/>
    </row>
    <row r="580">
      <c r="J580" s="152"/>
      <c r="L580" s="290"/>
      <c r="O580" s="107"/>
      <c r="P580" s="151"/>
    </row>
    <row r="581">
      <c r="J581" s="152"/>
      <c r="L581" s="290"/>
      <c r="O581" s="107"/>
      <c r="P581" s="151"/>
    </row>
    <row r="582">
      <c r="J582" s="152"/>
      <c r="L582" s="290"/>
      <c r="O582" s="107"/>
      <c r="P582" s="151"/>
    </row>
    <row r="583">
      <c r="J583" s="152"/>
      <c r="L583" s="290"/>
      <c r="O583" s="107"/>
      <c r="P583" s="151"/>
    </row>
    <row r="584">
      <c r="J584" s="152"/>
      <c r="L584" s="290"/>
      <c r="O584" s="107"/>
      <c r="P584" s="151"/>
    </row>
    <row r="585">
      <c r="J585" s="152"/>
      <c r="L585" s="290"/>
      <c r="O585" s="107"/>
      <c r="P585" s="151"/>
    </row>
    <row r="586">
      <c r="J586" s="152"/>
      <c r="L586" s="290"/>
      <c r="O586" s="107"/>
      <c r="P586" s="151"/>
    </row>
    <row r="587">
      <c r="J587" s="152"/>
      <c r="L587" s="290"/>
      <c r="O587" s="107"/>
      <c r="P587" s="151"/>
    </row>
    <row r="588">
      <c r="J588" s="152"/>
      <c r="L588" s="290"/>
      <c r="O588" s="107"/>
      <c r="P588" s="151"/>
    </row>
    <row r="589">
      <c r="J589" s="152"/>
      <c r="L589" s="290"/>
      <c r="O589" s="107"/>
      <c r="P589" s="151"/>
    </row>
    <row r="590">
      <c r="J590" s="152"/>
      <c r="L590" s="290"/>
      <c r="O590" s="107"/>
      <c r="P590" s="151"/>
    </row>
    <row r="591">
      <c r="J591" s="152"/>
      <c r="L591" s="290"/>
      <c r="O591" s="107"/>
      <c r="P591" s="151"/>
    </row>
    <row r="592">
      <c r="J592" s="152"/>
      <c r="L592" s="290"/>
      <c r="O592" s="107"/>
      <c r="P592" s="151"/>
    </row>
    <row r="593">
      <c r="J593" s="152"/>
      <c r="L593" s="290"/>
      <c r="O593" s="107"/>
      <c r="P593" s="151"/>
    </row>
    <row r="594">
      <c r="J594" s="152"/>
      <c r="L594" s="290"/>
      <c r="O594" s="107"/>
      <c r="P594" s="151"/>
    </row>
    <row r="595">
      <c r="J595" s="152"/>
      <c r="L595" s="290"/>
      <c r="O595" s="107"/>
      <c r="P595" s="151"/>
    </row>
    <row r="596">
      <c r="J596" s="152"/>
      <c r="L596" s="290"/>
      <c r="O596" s="107"/>
      <c r="P596" s="151"/>
    </row>
    <row r="597">
      <c r="J597" s="152"/>
      <c r="L597" s="290"/>
      <c r="O597" s="107"/>
      <c r="P597" s="151"/>
    </row>
    <row r="598">
      <c r="J598" s="152"/>
      <c r="L598" s="290"/>
      <c r="O598" s="107"/>
      <c r="P598" s="151"/>
    </row>
    <row r="599">
      <c r="J599" s="152"/>
      <c r="L599" s="290"/>
      <c r="O599" s="107"/>
      <c r="P599" s="151"/>
    </row>
    <row r="600">
      <c r="J600" s="152"/>
      <c r="L600" s="290"/>
      <c r="O600" s="107"/>
      <c r="P600" s="151"/>
    </row>
    <row r="601">
      <c r="J601" s="152"/>
      <c r="L601" s="290"/>
      <c r="O601" s="107"/>
      <c r="P601" s="151"/>
    </row>
    <row r="602">
      <c r="J602" s="152"/>
      <c r="L602" s="290"/>
      <c r="O602" s="107"/>
      <c r="P602" s="151"/>
    </row>
    <row r="603">
      <c r="J603" s="152"/>
      <c r="L603" s="290"/>
      <c r="O603" s="107"/>
      <c r="P603" s="151"/>
    </row>
    <row r="604">
      <c r="J604" s="152"/>
      <c r="L604" s="290"/>
      <c r="O604" s="107"/>
      <c r="P604" s="151"/>
    </row>
    <row r="605">
      <c r="J605" s="152"/>
      <c r="L605" s="290"/>
      <c r="O605" s="107"/>
      <c r="P605" s="151"/>
    </row>
    <row r="606">
      <c r="J606" s="152"/>
      <c r="L606" s="290"/>
      <c r="O606" s="107"/>
      <c r="P606" s="151"/>
    </row>
    <row r="607">
      <c r="J607" s="152"/>
      <c r="L607" s="290"/>
      <c r="O607" s="107"/>
      <c r="P607" s="151"/>
    </row>
    <row r="608">
      <c r="J608" s="152"/>
      <c r="L608" s="290"/>
      <c r="O608" s="107"/>
      <c r="P608" s="151"/>
    </row>
    <row r="609">
      <c r="J609" s="152"/>
      <c r="L609" s="290"/>
      <c r="O609" s="107"/>
      <c r="P609" s="151"/>
    </row>
    <row r="610">
      <c r="J610" s="152"/>
      <c r="L610" s="290"/>
      <c r="O610" s="107"/>
      <c r="P610" s="151"/>
    </row>
    <row r="611">
      <c r="J611" s="152"/>
      <c r="L611" s="290"/>
      <c r="O611" s="107"/>
      <c r="P611" s="151"/>
    </row>
    <row r="612">
      <c r="J612" s="152"/>
      <c r="L612" s="290"/>
      <c r="O612" s="107"/>
      <c r="P612" s="151"/>
    </row>
    <row r="613">
      <c r="J613" s="152"/>
      <c r="L613" s="290"/>
      <c r="O613" s="107"/>
      <c r="P613" s="151"/>
    </row>
    <row r="614">
      <c r="J614" s="152"/>
      <c r="L614" s="290"/>
      <c r="O614" s="107"/>
      <c r="P614" s="151"/>
    </row>
    <row r="615">
      <c r="J615" s="152"/>
      <c r="L615" s="290"/>
      <c r="O615" s="107"/>
      <c r="P615" s="151"/>
    </row>
    <row r="616">
      <c r="J616" s="152"/>
      <c r="L616" s="290"/>
      <c r="O616" s="107"/>
      <c r="P616" s="151"/>
    </row>
    <row r="617">
      <c r="J617" s="152"/>
      <c r="L617" s="290"/>
      <c r="O617" s="107"/>
      <c r="P617" s="151"/>
    </row>
    <row r="618">
      <c r="J618" s="152"/>
      <c r="L618" s="290"/>
      <c r="O618" s="107"/>
      <c r="P618" s="151"/>
    </row>
    <row r="619">
      <c r="J619" s="152"/>
      <c r="L619" s="290"/>
      <c r="O619" s="107"/>
      <c r="P619" s="151"/>
    </row>
    <row r="620">
      <c r="J620" s="152"/>
      <c r="L620" s="290"/>
      <c r="O620" s="107"/>
      <c r="P620" s="151"/>
    </row>
    <row r="621">
      <c r="J621" s="152"/>
      <c r="L621" s="290"/>
      <c r="O621" s="107"/>
      <c r="P621" s="151"/>
    </row>
    <row r="622">
      <c r="J622" s="152"/>
      <c r="L622" s="290"/>
      <c r="O622" s="107"/>
      <c r="P622" s="151"/>
    </row>
    <row r="623">
      <c r="J623" s="152"/>
      <c r="L623" s="290"/>
      <c r="O623" s="107"/>
      <c r="P623" s="151"/>
    </row>
    <row r="624">
      <c r="J624" s="152"/>
      <c r="L624" s="290"/>
      <c r="O624" s="107"/>
      <c r="P624" s="151"/>
    </row>
    <row r="625">
      <c r="J625" s="152"/>
      <c r="L625" s="290"/>
      <c r="O625" s="107"/>
      <c r="P625" s="151"/>
    </row>
    <row r="626">
      <c r="J626" s="152"/>
      <c r="L626" s="290"/>
      <c r="O626" s="107"/>
      <c r="P626" s="151"/>
    </row>
    <row r="627">
      <c r="J627" s="152"/>
      <c r="L627" s="290"/>
      <c r="O627" s="107"/>
      <c r="P627" s="151"/>
    </row>
    <row r="628">
      <c r="J628" s="152"/>
      <c r="L628" s="290"/>
      <c r="O628" s="107"/>
      <c r="P628" s="151"/>
    </row>
    <row r="629">
      <c r="J629" s="152"/>
      <c r="L629" s="290"/>
      <c r="O629" s="107"/>
      <c r="P629" s="151"/>
    </row>
    <row r="630">
      <c r="J630" s="152"/>
      <c r="L630" s="290"/>
      <c r="O630" s="107"/>
      <c r="P630" s="151"/>
    </row>
    <row r="631">
      <c r="J631" s="152"/>
      <c r="L631" s="290"/>
      <c r="O631" s="107"/>
      <c r="P631" s="151"/>
    </row>
    <row r="632">
      <c r="J632" s="152"/>
      <c r="L632" s="290"/>
      <c r="O632" s="107"/>
      <c r="P632" s="151"/>
    </row>
    <row r="633">
      <c r="J633" s="152"/>
      <c r="L633" s="290"/>
      <c r="O633" s="107"/>
      <c r="P633" s="151"/>
    </row>
    <row r="634">
      <c r="J634" s="152"/>
      <c r="L634" s="290"/>
      <c r="O634" s="107"/>
      <c r="P634" s="151"/>
    </row>
    <row r="635">
      <c r="J635" s="152"/>
      <c r="L635" s="290"/>
      <c r="O635" s="107"/>
      <c r="P635" s="151"/>
    </row>
    <row r="636">
      <c r="J636" s="152"/>
      <c r="L636" s="290"/>
      <c r="O636" s="107"/>
      <c r="P636" s="151"/>
    </row>
    <row r="637">
      <c r="J637" s="152"/>
      <c r="L637" s="290"/>
      <c r="O637" s="107"/>
      <c r="P637" s="151"/>
    </row>
    <row r="638">
      <c r="J638" s="152"/>
      <c r="L638" s="290"/>
      <c r="O638" s="107"/>
      <c r="P638" s="151"/>
    </row>
    <row r="639">
      <c r="J639" s="152"/>
      <c r="L639" s="290"/>
      <c r="O639" s="107"/>
      <c r="P639" s="151"/>
    </row>
    <row r="640">
      <c r="J640" s="152"/>
      <c r="L640" s="290"/>
      <c r="O640" s="107"/>
      <c r="P640" s="151"/>
    </row>
    <row r="641">
      <c r="J641" s="152"/>
      <c r="L641" s="290"/>
      <c r="O641" s="107"/>
      <c r="P641" s="151"/>
    </row>
    <row r="642">
      <c r="J642" s="152"/>
      <c r="L642" s="290"/>
      <c r="O642" s="107"/>
      <c r="P642" s="151"/>
    </row>
    <row r="643">
      <c r="J643" s="152"/>
      <c r="L643" s="290"/>
      <c r="O643" s="107"/>
      <c r="P643" s="151"/>
    </row>
    <row r="644">
      <c r="J644" s="152"/>
      <c r="L644" s="290"/>
      <c r="O644" s="107"/>
      <c r="P644" s="151"/>
    </row>
    <row r="645">
      <c r="J645" s="152"/>
      <c r="L645" s="290"/>
      <c r="O645" s="107"/>
      <c r="P645" s="151"/>
    </row>
    <row r="646">
      <c r="J646" s="152"/>
      <c r="L646" s="290"/>
      <c r="O646" s="107"/>
      <c r="P646" s="151"/>
    </row>
    <row r="647">
      <c r="J647" s="152"/>
      <c r="L647" s="290"/>
      <c r="O647" s="107"/>
      <c r="P647" s="151"/>
    </row>
    <row r="648">
      <c r="J648" s="152"/>
      <c r="L648" s="290"/>
      <c r="O648" s="107"/>
      <c r="P648" s="151"/>
    </row>
    <row r="649">
      <c r="J649" s="152"/>
      <c r="L649" s="290"/>
      <c r="O649" s="107"/>
      <c r="P649" s="151"/>
    </row>
    <row r="650">
      <c r="J650" s="152"/>
      <c r="L650" s="290"/>
      <c r="O650" s="107"/>
      <c r="P650" s="151"/>
    </row>
    <row r="651">
      <c r="J651" s="152"/>
      <c r="L651" s="290"/>
      <c r="O651" s="107"/>
      <c r="P651" s="151"/>
    </row>
    <row r="652">
      <c r="J652" s="152"/>
      <c r="L652" s="290"/>
      <c r="O652" s="107"/>
      <c r="P652" s="151"/>
    </row>
    <row r="653">
      <c r="J653" s="152"/>
      <c r="L653" s="290"/>
      <c r="O653" s="107"/>
      <c r="P653" s="151"/>
    </row>
    <row r="654">
      <c r="J654" s="152"/>
      <c r="L654" s="290"/>
      <c r="O654" s="107"/>
      <c r="P654" s="151"/>
    </row>
    <row r="655">
      <c r="J655" s="152"/>
      <c r="L655" s="290"/>
      <c r="O655" s="107"/>
      <c r="P655" s="151"/>
    </row>
    <row r="656">
      <c r="J656" s="152"/>
      <c r="L656" s="290"/>
      <c r="O656" s="107"/>
      <c r="P656" s="151"/>
    </row>
    <row r="657">
      <c r="J657" s="152"/>
      <c r="L657" s="290"/>
      <c r="O657" s="107"/>
      <c r="P657" s="151"/>
    </row>
    <row r="658">
      <c r="J658" s="152"/>
      <c r="L658" s="290"/>
      <c r="O658" s="107"/>
      <c r="P658" s="151"/>
    </row>
    <row r="659">
      <c r="J659" s="152"/>
      <c r="L659" s="290"/>
      <c r="O659" s="107"/>
      <c r="P659" s="151"/>
    </row>
    <row r="660">
      <c r="J660" s="152"/>
      <c r="L660" s="290"/>
      <c r="O660" s="107"/>
      <c r="P660" s="151"/>
    </row>
    <row r="661">
      <c r="J661" s="152"/>
      <c r="L661" s="290"/>
      <c r="O661" s="107"/>
      <c r="P661" s="151"/>
    </row>
    <row r="662">
      <c r="J662" s="152"/>
      <c r="L662" s="290"/>
      <c r="O662" s="107"/>
      <c r="P662" s="151"/>
    </row>
    <row r="663">
      <c r="J663" s="152"/>
      <c r="L663" s="290"/>
      <c r="O663" s="107"/>
      <c r="P663" s="151"/>
    </row>
    <row r="664">
      <c r="J664" s="152"/>
      <c r="L664" s="290"/>
      <c r="O664" s="107"/>
      <c r="P664" s="151"/>
    </row>
    <row r="665">
      <c r="J665" s="152"/>
      <c r="L665" s="290"/>
      <c r="O665" s="107"/>
      <c r="P665" s="151"/>
    </row>
    <row r="666">
      <c r="J666" s="152"/>
      <c r="L666" s="290"/>
      <c r="O666" s="107"/>
      <c r="P666" s="151"/>
    </row>
    <row r="667">
      <c r="J667" s="152"/>
      <c r="L667" s="290"/>
      <c r="O667" s="107"/>
      <c r="P667" s="151"/>
    </row>
    <row r="668">
      <c r="J668" s="152"/>
      <c r="L668" s="290"/>
      <c r="O668" s="107"/>
      <c r="P668" s="151"/>
    </row>
    <row r="669">
      <c r="J669" s="152"/>
      <c r="L669" s="290"/>
      <c r="O669" s="107"/>
      <c r="P669" s="151"/>
    </row>
    <row r="670">
      <c r="J670" s="152"/>
      <c r="L670" s="290"/>
      <c r="O670" s="107"/>
      <c r="P670" s="151"/>
    </row>
    <row r="671">
      <c r="J671" s="152"/>
      <c r="L671" s="290"/>
      <c r="O671" s="107"/>
      <c r="P671" s="151"/>
    </row>
    <row r="672">
      <c r="J672" s="152"/>
      <c r="L672" s="290"/>
      <c r="O672" s="107"/>
      <c r="P672" s="151"/>
    </row>
    <row r="673">
      <c r="J673" s="152"/>
      <c r="L673" s="290"/>
      <c r="O673" s="107"/>
      <c r="P673" s="151"/>
    </row>
    <row r="674">
      <c r="J674" s="152"/>
      <c r="L674" s="290"/>
      <c r="O674" s="107"/>
      <c r="P674" s="151"/>
    </row>
    <row r="675">
      <c r="J675" s="152"/>
      <c r="L675" s="290"/>
      <c r="O675" s="107"/>
      <c r="P675" s="151"/>
    </row>
    <row r="676">
      <c r="J676" s="152"/>
      <c r="L676" s="290"/>
      <c r="O676" s="107"/>
      <c r="P676" s="151"/>
    </row>
    <row r="677">
      <c r="J677" s="152"/>
      <c r="L677" s="290"/>
      <c r="O677" s="107"/>
      <c r="P677" s="151"/>
    </row>
    <row r="678">
      <c r="J678" s="152"/>
      <c r="L678" s="290"/>
      <c r="O678" s="107"/>
      <c r="P678" s="151"/>
    </row>
    <row r="679">
      <c r="J679" s="152"/>
      <c r="L679" s="290"/>
      <c r="O679" s="107"/>
      <c r="P679" s="151"/>
    </row>
    <row r="680">
      <c r="J680" s="152"/>
      <c r="L680" s="290"/>
      <c r="O680" s="107"/>
      <c r="P680" s="151"/>
    </row>
    <row r="681">
      <c r="J681" s="152"/>
      <c r="L681" s="290"/>
      <c r="O681" s="107"/>
      <c r="P681" s="151"/>
    </row>
    <row r="682">
      <c r="J682" s="152"/>
      <c r="L682" s="290"/>
      <c r="O682" s="107"/>
      <c r="P682" s="151"/>
    </row>
    <row r="683">
      <c r="J683" s="152"/>
      <c r="L683" s="290"/>
      <c r="O683" s="107"/>
      <c r="P683" s="151"/>
    </row>
    <row r="684">
      <c r="J684" s="152"/>
      <c r="L684" s="290"/>
      <c r="O684" s="107"/>
      <c r="P684" s="151"/>
    </row>
    <row r="685">
      <c r="J685" s="152"/>
      <c r="L685" s="290"/>
      <c r="O685" s="107"/>
      <c r="P685" s="151"/>
    </row>
    <row r="686">
      <c r="J686" s="152"/>
      <c r="L686" s="290"/>
      <c r="O686" s="107"/>
      <c r="P686" s="151"/>
    </row>
    <row r="687">
      <c r="J687" s="152"/>
      <c r="L687" s="290"/>
      <c r="O687" s="107"/>
      <c r="P687" s="151"/>
    </row>
    <row r="688">
      <c r="J688" s="152"/>
      <c r="L688" s="290"/>
      <c r="O688" s="107"/>
      <c r="P688" s="151"/>
    </row>
    <row r="689">
      <c r="J689" s="152"/>
      <c r="L689" s="290"/>
      <c r="O689" s="107"/>
      <c r="P689" s="151"/>
    </row>
    <row r="690">
      <c r="J690" s="152"/>
      <c r="L690" s="290"/>
      <c r="O690" s="107"/>
      <c r="P690" s="151"/>
    </row>
    <row r="691">
      <c r="J691" s="152"/>
      <c r="L691" s="290"/>
      <c r="O691" s="107"/>
      <c r="P691" s="151"/>
    </row>
    <row r="692">
      <c r="J692" s="152"/>
      <c r="L692" s="290"/>
      <c r="O692" s="107"/>
      <c r="P692" s="151"/>
    </row>
    <row r="693">
      <c r="J693" s="152"/>
      <c r="L693" s="290"/>
      <c r="O693" s="107"/>
      <c r="P693" s="151"/>
    </row>
    <row r="694">
      <c r="J694" s="152"/>
      <c r="L694" s="290"/>
      <c r="O694" s="107"/>
      <c r="P694" s="151"/>
    </row>
    <row r="695">
      <c r="J695" s="152"/>
      <c r="L695" s="290"/>
      <c r="O695" s="107"/>
      <c r="P695" s="151"/>
    </row>
    <row r="696">
      <c r="J696" s="152"/>
      <c r="L696" s="290"/>
      <c r="O696" s="107"/>
      <c r="P696" s="151"/>
    </row>
    <row r="697">
      <c r="J697" s="152"/>
      <c r="L697" s="290"/>
      <c r="O697" s="107"/>
      <c r="P697" s="151"/>
    </row>
    <row r="698">
      <c r="J698" s="152"/>
      <c r="L698" s="290"/>
      <c r="O698" s="107"/>
      <c r="P698" s="151"/>
    </row>
    <row r="699">
      <c r="J699" s="152"/>
      <c r="L699" s="290"/>
      <c r="O699" s="107"/>
      <c r="P699" s="151"/>
    </row>
    <row r="700">
      <c r="J700" s="152"/>
      <c r="L700" s="290"/>
      <c r="O700" s="107"/>
      <c r="P700" s="151"/>
    </row>
    <row r="701">
      <c r="J701" s="152"/>
      <c r="L701" s="290"/>
      <c r="O701" s="107"/>
      <c r="P701" s="151"/>
    </row>
    <row r="702">
      <c r="J702" s="152"/>
      <c r="L702" s="290"/>
      <c r="O702" s="107"/>
      <c r="P702" s="151"/>
    </row>
    <row r="703">
      <c r="J703" s="152"/>
      <c r="L703" s="290"/>
      <c r="O703" s="107"/>
      <c r="P703" s="151"/>
    </row>
    <row r="704">
      <c r="J704" s="152"/>
      <c r="L704" s="290"/>
      <c r="O704" s="107"/>
      <c r="P704" s="151"/>
    </row>
    <row r="705">
      <c r="J705" s="152"/>
      <c r="L705" s="290"/>
      <c r="O705" s="107"/>
      <c r="P705" s="151"/>
    </row>
    <row r="706">
      <c r="J706" s="152"/>
      <c r="L706" s="290"/>
      <c r="O706" s="107"/>
      <c r="P706" s="151"/>
    </row>
    <row r="707">
      <c r="J707" s="152"/>
      <c r="L707" s="290"/>
      <c r="O707" s="107"/>
      <c r="P707" s="151"/>
    </row>
    <row r="708">
      <c r="J708" s="152"/>
      <c r="L708" s="290"/>
      <c r="O708" s="107"/>
      <c r="P708" s="151"/>
    </row>
    <row r="709">
      <c r="J709" s="152"/>
      <c r="L709" s="290"/>
      <c r="O709" s="107"/>
      <c r="P709" s="151"/>
    </row>
    <row r="710">
      <c r="J710" s="152"/>
      <c r="L710" s="290"/>
      <c r="O710" s="107"/>
      <c r="P710" s="151"/>
    </row>
    <row r="711">
      <c r="J711" s="152"/>
      <c r="L711" s="290"/>
      <c r="O711" s="107"/>
      <c r="P711" s="151"/>
    </row>
    <row r="712">
      <c r="J712" s="152"/>
      <c r="L712" s="290"/>
      <c r="O712" s="107"/>
      <c r="P712" s="151"/>
    </row>
    <row r="713">
      <c r="J713" s="152"/>
      <c r="L713" s="290"/>
      <c r="O713" s="107"/>
      <c r="P713" s="151"/>
    </row>
    <row r="714">
      <c r="J714" s="152"/>
      <c r="L714" s="290"/>
      <c r="O714" s="107"/>
      <c r="P714" s="151"/>
    </row>
    <row r="715">
      <c r="J715" s="152"/>
      <c r="L715" s="290"/>
      <c r="O715" s="107"/>
      <c r="P715" s="151"/>
    </row>
    <row r="716">
      <c r="J716" s="152"/>
      <c r="L716" s="290"/>
      <c r="O716" s="107"/>
      <c r="P716" s="151"/>
    </row>
    <row r="717">
      <c r="J717" s="152"/>
      <c r="L717" s="290"/>
      <c r="O717" s="107"/>
      <c r="P717" s="151"/>
    </row>
    <row r="718">
      <c r="J718" s="152"/>
      <c r="L718" s="290"/>
      <c r="O718" s="107"/>
      <c r="P718" s="151"/>
    </row>
    <row r="719">
      <c r="J719" s="152"/>
      <c r="L719" s="290"/>
      <c r="O719" s="107"/>
      <c r="P719" s="151"/>
    </row>
    <row r="720">
      <c r="J720" s="152"/>
      <c r="L720" s="290"/>
      <c r="O720" s="107"/>
      <c r="P720" s="151"/>
    </row>
    <row r="721">
      <c r="J721" s="152"/>
      <c r="L721" s="290"/>
      <c r="O721" s="107"/>
      <c r="P721" s="151"/>
    </row>
    <row r="722">
      <c r="J722" s="152"/>
      <c r="L722" s="290"/>
      <c r="O722" s="107"/>
      <c r="P722" s="151"/>
    </row>
    <row r="723">
      <c r="J723" s="152"/>
      <c r="L723" s="290"/>
      <c r="O723" s="107"/>
      <c r="P723" s="151"/>
    </row>
    <row r="724">
      <c r="J724" s="152"/>
      <c r="L724" s="290"/>
      <c r="O724" s="107"/>
      <c r="P724" s="151"/>
    </row>
    <row r="725">
      <c r="J725" s="152"/>
      <c r="L725" s="290"/>
      <c r="O725" s="107"/>
      <c r="P725" s="151"/>
    </row>
    <row r="726">
      <c r="J726" s="152"/>
      <c r="L726" s="290"/>
      <c r="O726" s="107"/>
      <c r="P726" s="151"/>
    </row>
    <row r="727">
      <c r="J727" s="152"/>
      <c r="L727" s="290"/>
      <c r="O727" s="107"/>
      <c r="P727" s="151"/>
    </row>
    <row r="728">
      <c r="J728" s="152"/>
      <c r="L728" s="290"/>
      <c r="O728" s="107"/>
      <c r="P728" s="151"/>
    </row>
    <row r="729">
      <c r="J729" s="152"/>
      <c r="L729" s="290"/>
      <c r="O729" s="107"/>
      <c r="P729" s="151"/>
    </row>
    <row r="730">
      <c r="J730" s="152"/>
      <c r="L730" s="290"/>
      <c r="O730" s="107"/>
      <c r="P730" s="151"/>
    </row>
    <row r="731">
      <c r="J731" s="152"/>
      <c r="L731" s="290"/>
      <c r="O731" s="107"/>
      <c r="P731" s="151"/>
    </row>
    <row r="732">
      <c r="J732" s="152"/>
      <c r="L732" s="290"/>
      <c r="O732" s="107"/>
      <c r="P732" s="151"/>
    </row>
    <row r="733">
      <c r="J733" s="152"/>
      <c r="L733" s="290"/>
      <c r="O733" s="107"/>
      <c r="P733" s="151"/>
    </row>
    <row r="734">
      <c r="J734" s="152"/>
      <c r="L734" s="290"/>
      <c r="O734" s="107"/>
      <c r="P734" s="151"/>
    </row>
    <row r="735">
      <c r="J735" s="152"/>
      <c r="L735" s="290"/>
      <c r="O735" s="107"/>
      <c r="P735" s="151"/>
    </row>
    <row r="736">
      <c r="J736" s="152"/>
      <c r="L736" s="290"/>
      <c r="O736" s="107"/>
      <c r="P736" s="151"/>
    </row>
    <row r="737">
      <c r="J737" s="152"/>
      <c r="L737" s="290"/>
      <c r="O737" s="107"/>
      <c r="P737" s="151"/>
    </row>
    <row r="738">
      <c r="J738" s="152"/>
      <c r="L738" s="290"/>
      <c r="O738" s="107"/>
      <c r="P738" s="151"/>
    </row>
    <row r="739">
      <c r="J739" s="152"/>
      <c r="L739" s="290"/>
      <c r="O739" s="107"/>
      <c r="P739" s="151"/>
    </row>
    <row r="740">
      <c r="J740" s="152"/>
      <c r="L740" s="290"/>
      <c r="O740" s="107"/>
      <c r="P740" s="151"/>
    </row>
    <row r="741">
      <c r="J741" s="152"/>
      <c r="L741" s="290"/>
      <c r="O741" s="107"/>
      <c r="P741" s="151"/>
    </row>
    <row r="742">
      <c r="J742" s="152"/>
      <c r="L742" s="290"/>
      <c r="O742" s="107"/>
      <c r="P742" s="151"/>
    </row>
    <row r="743">
      <c r="J743" s="152"/>
      <c r="L743" s="290"/>
      <c r="O743" s="107"/>
      <c r="P743" s="151"/>
    </row>
    <row r="744">
      <c r="J744" s="152"/>
      <c r="L744" s="290"/>
      <c r="O744" s="107"/>
      <c r="P744" s="151"/>
    </row>
    <row r="745">
      <c r="J745" s="152"/>
      <c r="L745" s="290"/>
      <c r="O745" s="107"/>
      <c r="P745" s="151"/>
    </row>
    <row r="746">
      <c r="J746" s="152"/>
      <c r="L746" s="290"/>
      <c r="O746" s="107"/>
      <c r="P746" s="151"/>
    </row>
    <row r="747">
      <c r="J747" s="152"/>
      <c r="L747" s="290"/>
      <c r="O747" s="107"/>
      <c r="P747" s="151"/>
    </row>
    <row r="748">
      <c r="J748" s="152"/>
      <c r="L748" s="290"/>
      <c r="O748" s="107"/>
      <c r="P748" s="151"/>
    </row>
    <row r="749">
      <c r="J749" s="152"/>
      <c r="L749" s="290"/>
      <c r="O749" s="107"/>
      <c r="P749" s="151"/>
    </row>
    <row r="750">
      <c r="J750" s="152"/>
      <c r="L750" s="290"/>
      <c r="O750" s="107"/>
      <c r="P750" s="151"/>
    </row>
    <row r="751">
      <c r="J751" s="152"/>
      <c r="L751" s="290"/>
      <c r="O751" s="107"/>
      <c r="P751" s="151"/>
    </row>
    <row r="752">
      <c r="J752" s="152"/>
      <c r="L752" s="290"/>
      <c r="O752" s="107"/>
      <c r="P752" s="151"/>
    </row>
    <row r="753">
      <c r="J753" s="152"/>
      <c r="L753" s="290"/>
      <c r="O753" s="107"/>
      <c r="P753" s="151"/>
    </row>
    <row r="754">
      <c r="J754" s="152"/>
      <c r="L754" s="290"/>
      <c r="O754" s="107"/>
      <c r="P754" s="151"/>
    </row>
    <row r="755">
      <c r="J755" s="152"/>
      <c r="L755" s="290"/>
      <c r="O755" s="107"/>
      <c r="P755" s="151"/>
    </row>
    <row r="756">
      <c r="J756" s="152"/>
      <c r="L756" s="290"/>
      <c r="O756" s="107"/>
      <c r="P756" s="151"/>
    </row>
    <row r="757">
      <c r="J757" s="152"/>
      <c r="L757" s="290"/>
      <c r="O757" s="107"/>
      <c r="P757" s="151"/>
    </row>
    <row r="758">
      <c r="J758" s="152"/>
      <c r="L758" s="290"/>
      <c r="O758" s="107"/>
      <c r="P758" s="151"/>
    </row>
    <row r="759">
      <c r="J759" s="152"/>
      <c r="L759" s="290"/>
      <c r="O759" s="107"/>
      <c r="P759" s="151"/>
    </row>
    <row r="760">
      <c r="J760" s="152"/>
      <c r="L760" s="290"/>
      <c r="O760" s="107"/>
      <c r="P760" s="151"/>
    </row>
    <row r="761">
      <c r="J761" s="152"/>
      <c r="L761" s="290"/>
      <c r="O761" s="107"/>
      <c r="P761" s="151"/>
    </row>
    <row r="762">
      <c r="J762" s="152"/>
      <c r="L762" s="290"/>
      <c r="O762" s="107"/>
      <c r="P762" s="151"/>
    </row>
    <row r="763">
      <c r="J763" s="152"/>
      <c r="L763" s="290"/>
      <c r="O763" s="107"/>
      <c r="P763" s="151"/>
    </row>
    <row r="764">
      <c r="J764" s="152"/>
      <c r="L764" s="290"/>
      <c r="O764" s="107"/>
      <c r="P764" s="151"/>
    </row>
    <row r="765">
      <c r="J765" s="152"/>
      <c r="L765" s="290"/>
      <c r="O765" s="107"/>
      <c r="P765" s="151"/>
    </row>
    <row r="766">
      <c r="J766" s="152"/>
      <c r="L766" s="290"/>
      <c r="O766" s="107"/>
      <c r="P766" s="151"/>
    </row>
    <row r="767">
      <c r="J767" s="152"/>
      <c r="L767" s="290"/>
      <c r="O767" s="107"/>
      <c r="P767" s="151"/>
    </row>
    <row r="768">
      <c r="J768" s="152"/>
      <c r="L768" s="290"/>
      <c r="O768" s="107"/>
      <c r="P768" s="151"/>
    </row>
    <row r="769">
      <c r="J769" s="152"/>
      <c r="L769" s="290"/>
      <c r="O769" s="107"/>
      <c r="P769" s="151"/>
    </row>
    <row r="770">
      <c r="J770" s="152"/>
      <c r="L770" s="290"/>
      <c r="O770" s="107"/>
      <c r="P770" s="151"/>
    </row>
    <row r="771">
      <c r="J771" s="152"/>
      <c r="L771" s="290"/>
      <c r="O771" s="107"/>
      <c r="P771" s="151"/>
    </row>
    <row r="772">
      <c r="J772" s="152"/>
      <c r="L772" s="290"/>
      <c r="O772" s="107"/>
      <c r="P772" s="151"/>
    </row>
    <row r="773">
      <c r="J773" s="152"/>
      <c r="L773" s="290"/>
      <c r="O773" s="107"/>
      <c r="P773" s="151"/>
    </row>
    <row r="774">
      <c r="J774" s="152"/>
      <c r="L774" s="290"/>
      <c r="O774" s="107"/>
      <c r="P774" s="151"/>
    </row>
    <row r="775">
      <c r="J775" s="152"/>
      <c r="L775" s="290"/>
      <c r="O775" s="107"/>
      <c r="P775" s="151"/>
    </row>
    <row r="776">
      <c r="J776" s="152"/>
      <c r="L776" s="290"/>
      <c r="O776" s="107"/>
      <c r="P776" s="151"/>
    </row>
    <row r="777">
      <c r="J777" s="152"/>
      <c r="L777" s="290"/>
      <c r="O777" s="107"/>
      <c r="P777" s="151"/>
    </row>
    <row r="778">
      <c r="J778" s="152"/>
      <c r="L778" s="290"/>
      <c r="O778" s="107"/>
      <c r="P778" s="151"/>
    </row>
    <row r="779">
      <c r="J779" s="152"/>
      <c r="L779" s="290"/>
      <c r="O779" s="107"/>
      <c r="P779" s="151"/>
    </row>
    <row r="780">
      <c r="J780" s="152"/>
      <c r="L780" s="290"/>
      <c r="O780" s="107"/>
      <c r="P780" s="151"/>
    </row>
    <row r="781">
      <c r="J781" s="152"/>
      <c r="L781" s="290"/>
      <c r="O781" s="107"/>
      <c r="P781" s="151"/>
    </row>
    <row r="782">
      <c r="J782" s="152"/>
      <c r="L782" s="290"/>
      <c r="O782" s="107"/>
      <c r="P782" s="151"/>
    </row>
    <row r="783">
      <c r="J783" s="152"/>
      <c r="L783" s="290"/>
      <c r="O783" s="107"/>
      <c r="P783" s="151"/>
    </row>
    <row r="784">
      <c r="J784" s="152"/>
      <c r="L784" s="290"/>
      <c r="O784" s="107"/>
      <c r="P784" s="151"/>
    </row>
    <row r="785">
      <c r="J785" s="152"/>
      <c r="L785" s="290"/>
      <c r="O785" s="107"/>
      <c r="P785" s="151"/>
    </row>
    <row r="786">
      <c r="J786" s="152"/>
      <c r="L786" s="290"/>
      <c r="O786" s="107"/>
      <c r="P786" s="151"/>
    </row>
    <row r="787">
      <c r="J787" s="152"/>
      <c r="L787" s="290"/>
      <c r="O787" s="107"/>
      <c r="P787" s="151"/>
    </row>
    <row r="788">
      <c r="J788" s="152"/>
      <c r="L788" s="290"/>
      <c r="O788" s="107"/>
      <c r="P788" s="151"/>
    </row>
    <row r="789">
      <c r="J789" s="152"/>
      <c r="L789" s="290"/>
      <c r="O789" s="107"/>
      <c r="P789" s="151"/>
    </row>
    <row r="790">
      <c r="J790" s="152"/>
      <c r="L790" s="290"/>
      <c r="O790" s="107"/>
      <c r="P790" s="151"/>
    </row>
    <row r="791">
      <c r="J791" s="152"/>
      <c r="L791" s="290"/>
      <c r="O791" s="107"/>
      <c r="P791" s="151"/>
    </row>
    <row r="792">
      <c r="J792" s="152"/>
      <c r="L792" s="290"/>
      <c r="O792" s="107"/>
      <c r="P792" s="151"/>
    </row>
    <row r="793">
      <c r="J793" s="152"/>
      <c r="L793" s="290"/>
      <c r="O793" s="107"/>
      <c r="P793" s="151"/>
    </row>
    <row r="794">
      <c r="J794" s="152"/>
      <c r="L794" s="290"/>
      <c r="O794" s="107"/>
      <c r="P794" s="151"/>
    </row>
    <row r="795">
      <c r="J795" s="152"/>
      <c r="L795" s="290"/>
      <c r="O795" s="107"/>
      <c r="P795" s="151"/>
    </row>
    <row r="796">
      <c r="J796" s="152"/>
      <c r="L796" s="290"/>
      <c r="O796" s="107"/>
      <c r="P796" s="151"/>
    </row>
    <row r="797">
      <c r="J797" s="152"/>
      <c r="L797" s="290"/>
      <c r="O797" s="107"/>
      <c r="P797" s="151"/>
    </row>
    <row r="798">
      <c r="J798" s="152"/>
      <c r="L798" s="290"/>
      <c r="O798" s="107"/>
      <c r="P798" s="151"/>
    </row>
    <row r="799">
      <c r="J799" s="152"/>
      <c r="L799" s="290"/>
      <c r="O799" s="107"/>
      <c r="P799" s="151"/>
    </row>
    <row r="800">
      <c r="J800" s="152"/>
      <c r="L800" s="290"/>
      <c r="O800" s="107"/>
      <c r="P800" s="151"/>
    </row>
    <row r="801">
      <c r="J801" s="152"/>
      <c r="L801" s="290"/>
      <c r="O801" s="107"/>
      <c r="P801" s="151"/>
    </row>
    <row r="802">
      <c r="J802" s="152"/>
      <c r="L802" s="290"/>
      <c r="O802" s="107"/>
      <c r="P802" s="151"/>
    </row>
    <row r="803">
      <c r="J803" s="152"/>
      <c r="L803" s="290"/>
      <c r="O803" s="107"/>
      <c r="P803" s="151"/>
    </row>
    <row r="804">
      <c r="J804" s="152"/>
      <c r="L804" s="290"/>
      <c r="O804" s="107"/>
      <c r="P804" s="151"/>
    </row>
    <row r="805">
      <c r="J805" s="152"/>
      <c r="L805" s="290"/>
      <c r="O805" s="107"/>
      <c r="P805" s="151"/>
    </row>
    <row r="806">
      <c r="J806" s="152"/>
      <c r="L806" s="290"/>
      <c r="O806" s="107"/>
      <c r="P806" s="151"/>
    </row>
    <row r="807">
      <c r="J807" s="152"/>
      <c r="L807" s="290"/>
      <c r="O807" s="107"/>
      <c r="P807" s="151"/>
    </row>
    <row r="808">
      <c r="J808" s="152"/>
      <c r="L808" s="290"/>
      <c r="O808" s="107"/>
      <c r="P808" s="151"/>
    </row>
    <row r="809">
      <c r="J809" s="152"/>
      <c r="L809" s="290"/>
      <c r="O809" s="107"/>
      <c r="P809" s="151"/>
    </row>
    <row r="810">
      <c r="J810" s="152"/>
      <c r="L810" s="290"/>
      <c r="O810" s="107"/>
      <c r="P810" s="151"/>
    </row>
    <row r="811">
      <c r="J811" s="152"/>
      <c r="L811" s="290"/>
      <c r="O811" s="107"/>
      <c r="P811" s="151"/>
    </row>
    <row r="812">
      <c r="J812" s="152"/>
      <c r="L812" s="290"/>
      <c r="O812" s="107"/>
      <c r="P812" s="151"/>
    </row>
    <row r="813">
      <c r="J813" s="152"/>
      <c r="L813" s="290"/>
      <c r="O813" s="107"/>
      <c r="P813" s="151"/>
    </row>
    <row r="814">
      <c r="J814" s="152"/>
      <c r="L814" s="290"/>
      <c r="O814" s="107"/>
      <c r="P814" s="151"/>
    </row>
    <row r="815">
      <c r="J815" s="152"/>
      <c r="L815" s="290"/>
      <c r="O815" s="107"/>
      <c r="P815" s="151"/>
    </row>
    <row r="816">
      <c r="J816" s="152"/>
      <c r="L816" s="290"/>
      <c r="O816" s="107"/>
      <c r="P816" s="151"/>
    </row>
    <row r="817">
      <c r="J817" s="152"/>
      <c r="L817" s="290"/>
      <c r="O817" s="107"/>
      <c r="P817" s="151"/>
    </row>
    <row r="818">
      <c r="J818" s="152"/>
      <c r="L818" s="290"/>
      <c r="O818" s="107"/>
      <c r="P818" s="151"/>
    </row>
    <row r="819">
      <c r="J819" s="152"/>
      <c r="L819" s="290"/>
      <c r="O819" s="107"/>
      <c r="P819" s="151"/>
    </row>
    <row r="820">
      <c r="J820" s="152"/>
      <c r="L820" s="290"/>
      <c r="O820" s="107"/>
      <c r="P820" s="151"/>
    </row>
    <row r="821">
      <c r="J821" s="152"/>
      <c r="L821" s="290"/>
      <c r="O821" s="107"/>
      <c r="P821" s="151"/>
    </row>
    <row r="822">
      <c r="J822" s="152"/>
      <c r="L822" s="290"/>
      <c r="O822" s="107"/>
      <c r="P822" s="151"/>
    </row>
    <row r="823">
      <c r="J823" s="152"/>
      <c r="L823" s="290"/>
      <c r="O823" s="107"/>
      <c r="P823" s="151"/>
    </row>
    <row r="824">
      <c r="J824" s="152"/>
      <c r="L824" s="290"/>
      <c r="O824" s="107"/>
      <c r="P824" s="151"/>
    </row>
    <row r="825">
      <c r="J825" s="152"/>
      <c r="L825" s="290"/>
      <c r="O825" s="107"/>
      <c r="P825" s="151"/>
    </row>
    <row r="826">
      <c r="J826" s="152"/>
      <c r="L826" s="290"/>
      <c r="O826" s="107"/>
      <c r="P826" s="151"/>
    </row>
    <row r="827">
      <c r="J827" s="152"/>
      <c r="L827" s="290"/>
      <c r="O827" s="107"/>
      <c r="P827" s="151"/>
    </row>
    <row r="828">
      <c r="J828" s="152"/>
      <c r="L828" s="290"/>
      <c r="O828" s="107"/>
      <c r="P828" s="151"/>
    </row>
    <row r="829">
      <c r="J829" s="152"/>
      <c r="L829" s="290"/>
      <c r="O829" s="107"/>
      <c r="P829" s="151"/>
    </row>
    <row r="830">
      <c r="J830" s="152"/>
      <c r="L830" s="290"/>
      <c r="O830" s="107"/>
      <c r="P830" s="151"/>
    </row>
    <row r="831">
      <c r="J831" s="152"/>
      <c r="L831" s="290"/>
      <c r="O831" s="107"/>
      <c r="P831" s="151"/>
    </row>
    <row r="832">
      <c r="J832" s="152"/>
      <c r="L832" s="290"/>
      <c r="O832" s="107"/>
      <c r="P832" s="151"/>
    </row>
    <row r="833">
      <c r="J833" s="152"/>
      <c r="L833" s="290"/>
      <c r="O833" s="107"/>
      <c r="P833" s="151"/>
    </row>
    <row r="834">
      <c r="J834" s="152"/>
      <c r="L834" s="290"/>
      <c r="O834" s="107"/>
      <c r="P834" s="151"/>
    </row>
    <row r="835">
      <c r="J835" s="152"/>
      <c r="L835" s="290"/>
      <c r="O835" s="107"/>
      <c r="P835" s="151"/>
    </row>
    <row r="836">
      <c r="J836" s="152"/>
      <c r="L836" s="290"/>
      <c r="O836" s="107"/>
      <c r="P836" s="151"/>
    </row>
    <row r="837">
      <c r="J837" s="152"/>
      <c r="L837" s="290"/>
      <c r="O837" s="107"/>
      <c r="P837" s="151"/>
    </row>
    <row r="838">
      <c r="J838" s="152"/>
      <c r="L838" s="290"/>
      <c r="O838" s="107"/>
      <c r="P838" s="151"/>
    </row>
    <row r="839">
      <c r="J839" s="152"/>
      <c r="L839" s="290"/>
      <c r="O839" s="107"/>
      <c r="P839" s="151"/>
    </row>
    <row r="840">
      <c r="J840" s="152"/>
      <c r="L840" s="290"/>
      <c r="O840" s="107"/>
      <c r="P840" s="151"/>
    </row>
    <row r="841">
      <c r="J841" s="152"/>
      <c r="L841" s="290"/>
      <c r="O841" s="107"/>
      <c r="P841" s="151"/>
    </row>
    <row r="842">
      <c r="J842" s="152"/>
      <c r="L842" s="290"/>
      <c r="O842" s="107"/>
      <c r="P842" s="151"/>
    </row>
    <row r="843">
      <c r="J843" s="152"/>
      <c r="L843" s="290"/>
      <c r="O843" s="107"/>
      <c r="P843" s="151"/>
    </row>
    <row r="844">
      <c r="J844" s="152"/>
      <c r="L844" s="290"/>
      <c r="O844" s="107"/>
      <c r="P844" s="151"/>
    </row>
    <row r="845">
      <c r="J845" s="152"/>
      <c r="L845" s="290"/>
      <c r="O845" s="107"/>
      <c r="P845" s="151"/>
    </row>
    <row r="846">
      <c r="J846" s="152"/>
      <c r="L846" s="290"/>
      <c r="O846" s="107"/>
      <c r="P846" s="151"/>
    </row>
    <row r="847">
      <c r="J847" s="152"/>
      <c r="L847" s="290"/>
      <c r="O847" s="107"/>
      <c r="P847" s="151"/>
    </row>
    <row r="848">
      <c r="J848" s="152"/>
      <c r="L848" s="290"/>
      <c r="O848" s="107"/>
      <c r="P848" s="151"/>
    </row>
    <row r="849">
      <c r="J849" s="152"/>
      <c r="L849" s="290"/>
      <c r="O849" s="107"/>
      <c r="P849" s="151"/>
    </row>
    <row r="850">
      <c r="J850" s="152"/>
      <c r="L850" s="290"/>
      <c r="O850" s="107"/>
      <c r="P850" s="151"/>
    </row>
    <row r="851">
      <c r="J851" s="152"/>
      <c r="L851" s="290"/>
      <c r="O851" s="107"/>
      <c r="P851" s="151"/>
    </row>
    <row r="852">
      <c r="J852" s="152"/>
      <c r="L852" s="290"/>
      <c r="O852" s="107"/>
      <c r="P852" s="151"/>
    </row>
    <row r="853">
      <c r="J853" s="152"/>
      <c r="L853" s="290"/>
      <c r="O853" s="107"/>
      <c r="P853" s="151"/>
    </row>
    <row r="854">
      <c r="J854" s="152"/>
      <c r="L854" s="290"/>
      <c r="O854" s="107"/>
      <c r="P854" s="151"/>
    </row>
    <row r="855">
      <c r="J855" s="152"/>
      <c r="L855" s="290"/>
      <c r="O855" s="107"/>
      <c r="P855" s="151"/>
    </row>
    <row r="856">
      <c r="J856" s="152"/>
      <c r="L856" s="290"/>
      <c r="O856" s="107"/>
      <c r="P856" s="151"/>
    </row>
    <row r="857">
      <c r="J857" s="152"/>
      <c r="L857" s="290"/>
      <c r="O857" s="107"/>
      <c r="P857" s="151"/>
    </row>
    <row r="858">
      <c r="J858" s="152"/>
      <c r="L858" s="290"/>
      <c r="O858" s="107"/>
      <c r="P858" s="151"/>
    </row>
    <row r="859">
      <c r="J859" s="152"/>
      <c r="L859" s="290"/>
      <c r="O859" s="107"/>
      <c r="P859" s="151"/>
    </row>
    <row r="860">
      <c r="J860" s="152"/>
      <c r="L860" s="290"/>
      <c r="O860" s="107"/>
      <c r="P860" s="151"/>
    </row>
    <row r="861">
      <c r="J861" s="152"/>
      <c r="L861" s="290"/>
      <c r="O861" s="107"/>
      <c r="P861" s="151"/>
    </row>
    <row r="862">
      <c r="J862" s="152"/>
      <c r="L862" s="290"/>
      <c r="O862" s="107"/>
      <c r="P862" s="151"/>
    </row>
    <row r="863">
      <c r="J863" s="152"/>
      <c r="L863" s="290"/>
      <c r="O863" s="107"/>
      <c r="P863" s="151"/>
    </row>
    <row r="864">
      <c r="J864" s="152"/>
      <c r="L864" s="290"/>
      <c r="O864" s="107"/>
      <c r="P864" s="151"/>
    </row>
    <row r="865">
      <c r="J865" s="152"/>
      <c r="L865" s="290"/>
      <c r="O865" s="107"/>
      <c r="P865" s="151"/>
    </row>
    <row r="866">
      <c r="J866" s="152"/>
      <c r="L866" s="290"/>
      <c r="O866" s="107"/>
      <c r="P866" s="151"/>
    </row>
    <row r="867">
      <c r="J867" s="152"/>
      <c r="L867" s="290"/>
      <c r="O867" s="107"/>
      <c r="P867" s="151"/>
    </row>
    <row r="868">
      <c r="J868" s="152"/>
      <c r="L868" s="290"/>
      <c r="O868" s="107"/>
      <c r="P868" s="151"/>
    </row>
    <row r="869">
      <c r="J869" s="152"/>
      <c r="L869" s="290"/>
      <c r="O869" s="107"/>
      <c r="P869" s="151"/>
    </row>
    <row r="870">
      <c r="J870" s="152"/>
      <c r="L870" s="290"/>
      <c r="O870" s="107"/>
      <c r="P870" s="151"/>
    </row>
    <row r="871">
      <c r="J871" s="152"/>
      <c r="L871" s="290"/>
      <c r="O871" s="107"/>
      <c r="P871" s="151"/>
    </row>
    <row r="872">
      <c r="J872" s="152"/>
      <c r="L872" s="290"/>
      <c r="O872" s="107"/>
      <c r="P872" s="151"/>
    </row>
    <row r="873">
      <c r="J873" s="152"/>
      <c r="L873" s="290"/>
      <c r="O873" s="107"/>
      <c r="P873" s="151"/>
    </row>
    <row r="874">
      <c r="J874" s="152"/>
      <c r="L874" s="290"/>
      <c r="O874" s="107"/>
      <c r="P874" s="151"/>
    </row>
    <row r="875">
      <c r="J875" s="152"/>
      <c r="L875" s="290"/>
      <c r="O875" s="107"/>
      <c r="P875" s="151"/>
    </row>
    <row r="876">
      <c r="J876" s="152"/>
      <c r="L876" s="290"/>
      <c r="O876" s="107"/>
      <c r="P876" s="151"/>
    </row>
    <row r="877">
      <c r="J877" s="152"/>
      <c r="L877" s="290"/>
      <c r="O877" s="107"/>
      <c r="P877" s="151"/>
    </row>
    <row r="878">
      <c r="J878" s="152"/>
      <c r="L878" s="290"/>
      <c r="O878" s="107"/>
      <c r="P878" s="151"/>
    </row>
    <row r="879">
      <c r="J879" s="152"/>
      <c r="L879" s="290"/>
      <c r="O879" s="107"/>
      <c r="P879" s="151"/>
    </row>
    <row r="880">
      <c r="J880" s="152"/>
      <c r="L880" s="290"/>
      <c r="O880" s="107"/>
      <c r="P880" s="151"/>
    </row>
    <row r="881">
      <c r="J881" s="152"/>
      <c r="L881" s="290"/>
      <c r="O881" s="107"/>
      <c r="P881" s="151"/>
    </row>
    <row r="882">
      <c r="J882" s="152"/>
      <c r="L882" s="290"/>
      <c r="O882" s="107"/>
      <c r="P882" s="151"/>
    </row>
    <row r="883">
      <c r="J883" s="152"/>
      <c r="L883" s="290"/>
      <c r="O883" s="107"/>
      <c r="P883" s="151"/>
    </row>
    <row r="884">
      <c r="J884" s="152"/>
      <c r="L884" s="290"/>
      <c r="O884" s="107"/>
      <c r="P884" s="151"/>
    </row>
    <row r="885">
      <c r="J885" s="152"/>
      <c r="L885" s="290"/>
      <c r="O885" s="107"/>
      <c r="P885" s="151"/>
    </row>
    <row r="886">
      <c r="J886" s="152"/>
      <c r="L886" s="290"/>
      <c r="O886" s="107"/>
      <c r="P886" s="151"/>
    </row>
    <row r="887">
      <c r="J887" s="152"/>
      <c r="L887" s="290"/>
      <c r="O887" s="107"/>
      <c r="P887" s="151"/>
    </row>
    <row r="888">
      <c r="J888" s="152"/>
      <c r="L888" s="290"/>
      <c r="O888" s="107"/>
      <c r="P888" s="151"/>
    </row>
    <row r="889">
      <c r="J889" s="152"/>
      <c r="L889" s="290"/>
      <c r="O889" s="107"/>
      <c r="P889" s="151"/>
    </row>
    <row r="890">
      <c r="J890" s="152"/>
      <c r="L890" s="290"/>
      <c r="O890" s="107"/>
      <c r="P890" s="151"/>
    </row>
    <row r="891">
      <c r="J891" s="152"/>
      <c r="L891" s="290"/>
      <c r="O891" s="107"/>
      <c r="P891" s="151"/>
    </row>
    <row r="892">
      <c r="J892" s="152"/>
      <c r="L892" s="290"/>
      <c r="O892" s="107"/>
      <c r="P892" s="151"/>
    </row>
    <row r="893">
      <c r="J893" s="152"/>
      <c r="L893" s="290"/>
      <c r="O893" s="107"/>
      <c r="P893" s="151"/>
    </row>
    <row r="894">
      <c r="J894" s="152"/>
      <c r="L894" s="290"/>
      <c r="O894" s="107"/>
      <c r="P894" s="151"/>
    </row>
    <row r="895">
      <c r="J895" s="152"/>
      <c r="L895" s="290"/>
      <c r="O895" s="107"/>
      <c r="P895" s="151"/>
    </row>
    <row r="896">
      <c r="J896" s="152"/>
      <c r="L896" s="290"/>
      <c r="O896" s="107"/>
      <c r="P896" s="151"/>
    </row>
    <row r="897">
      <c r="J897" s="152"/>
      <c r="L897" s="290"/>
      <c r="O897" s="107"/>
      <c r="P897" s="151"/>
    </row>
    <row r="898">
      <c r="J898" s="152"/>
      <c r="L898" s="290"/>
      <c r="O898" s="107"/>
      <c r="P898" s="151"/>
    </row>
    <row r="899">
      <c r="J899" s="152"/>
      <c r="L899" s="290"/>
      <c r="O899" s="107"/>
      <c r="P899" s="151"/>
    </row>
    <row r="900">
      <c r="J900" s="152"/>
      <c r="L900" s="290"/>
      <c r="O900" s="107"/>
      <c r="P900" s="151"/>
    </row>
    <row r="901">
      <c r="J901" s="152"/>
      <c r="L901" s="290"/>
      <c r="O901" s="107"/>
      <c r="P901" s="151"/>
    </row>
    <row r="902">
      <c r="J902" s="152"/>
      <c r="L902" s="290"/>
      <c r="O902" s="107"/>
      <c r="P902" s="151"/>
    </row>
    <row r="903">
      <c r="J903" s="152"/>
      <c r="L903" s="290"/>
      <c r="O903" s="107"/>
      <c r="P903" s="151"/>
    </row>
    <row r="904">
      <c r="J904" s="152"/>
      <c r="L904" s="290"/>
      <c r="O904" s="107"/>
      <c r="P904" s="151"/>
    </row>
    <row r="905">
      <c r="J905" s="152"/>
      <c r="L905" s="290"/>
      <c r="O905" s="107"/>
      <c r="P905" s="151"/>
    </row>
    <row r="906">
      <c r="J906" s="152"/>
      <c r="L906" s="290"/>
      <c r="O906" s="107"/>
      <c r="P906" s="151"/>
    </row>
    <row r="907">
      <c r="J907" s="152"/>
      <c r="L907" s="290"/>
      <c r="O907" s="107"/>
      <c r="P907" s="151"/>
    </row>
    <row r="908">
      <c r="J908" s="152"/>
      <c r="L908" s="290"/>
      <c r="O908" s="107"/>
      <c r="P908" s="151"/>
    </row>
    <row r="909">
      <c r="J909" s="152"/>
      <c r="L909" s="290"/>
      <c r="O909" s="107"/>
      <c r="P909" s="151"/>
    </row>
    <row r="910">
      <c r="J910" s="152"/>
      <c r="L910" s="290"/>
      <c r="O910" s="107"/>
      <c r="P910" s="151"/>
    </row>
    <row r="911">
      <c r="J911" s="152"/>
      <c r="L911" s="290"/>
      <c r="O911" s="107"/>
      <c r="P911" s="151"/>
    </row>
    <row r="912">
      <c r="J912" s="152"/>
      <c r="L912" s="290"/>
      <c r="O912" s="107"/>
      <c r="P912" s="151"/>
    </row>
    <row r="913">
      <c r="J913" s="152"/>
      <c r="L913" s="290"/>
      <c r="O913" s="107"/>
      <c r="P913" s="151"/>
    </row>
    <row r="914">
      <c r="J914" s="152"/>
      <c r="L914" s="290"/>
      <c r="O914" s="107"/>
      <c r="P914" s="151"/>
    </row>
    <row r="915">
      <c r="J915" s="152"/>
      <c r="L915" s="290"/>
      <c r="O915" s="107"/>
      <c r="P915" s="151"/>
    </row>
    <row r="916">
      <c r="J916" s="152"/>
      <c r="L916" s="290"/>
      <c r="O916" s="107"/>
      <c r="P916" s="151"/>
    </row>
    <row r="917">
      <c r="J917" s="152"/>
      <c r="L917" s="290"/>
      <c r="O917" s="107"/>
      <c r="P917" s="151"/>
    </row>
    <row r="918">
      <c r="J918" s="152"/>
      <c r="L918" s="290"/>
      <c r="O918" s="107"/>
      <c r="P918" s="151"/>
    </row>
    <row r="919">
      <c r="J919" s="152"/>
      <c r="L919" s="290"/>
      <c r="O919" s="107"/>
      <c r="P919" s="151"/>
    </row>
    <row r="920">
      <c r="J920" s="152"/>
      <c r="L920" s="290"/>
      <c r="O920" s="107"/>
      <c r="P920" s="151"/>
    </row>
    <row r="921">
      <c r="J921" s="152"/>
      <c r="L921" s="290"/>
      <c r="O921" s="107"/>
      <c r="P921" s="151"/>
    </row>
    <row r="922">
      <c r="J922" s="152"/>
      <c r="L922" s="290"/>
      <c r="O922" s="107"/>
      <c r="P922" s="151"/>
    </row>
    <row r="923">
      <c r="J923" s="152"/>
      <c r="L923" s="290"/>
      <c r="O923" s="107"/>
      <c r="P923" s="151"/>
    </row>
    <row r="924">
      <c r="J924" s="152"/>
      <c r="L924" s="290"/>
      <c r="O924" s="107"/>
      <c r="P924" s="151"/>
    </row>
    <row r="925">
      <c r="J925" s="152"/>
      <c r="L925" s="290"/>
      <c r="O925" s="107"/>
      <c r="P925" s="151"/>
    </row>
    <row r="926">
      <c r="J926" s="152"/>
      <c r="L926" s="290"/>
      <c r="O926" s="107"/>
      <c r="P926" s="151"/>
    </row>
    <row r="927">
      <c r="J927" s="152"/>
      <c r="L927" s="290"/>
      <c r="O927" s="107"/>
      <c r="P927" s="151"/>
    </row>
    <row r="928">
      <c r="J928" s="152"/>
      <c r="L928" s="290"/>
      <c r="O928" s="107"/>
      <c r="P928" s="151"/>
    </row>
    <row r="929">
      <c r="J929" s="152"/>
      <c r="L929" s="290"/>
      <c r="O929" s="107"/>
      <c r="P929" s="151"/>
    </row>
    <row r="930">
      <c r="J930" s="152"/>
      <c r="L930" s="290"/>
      <c r="O930" s="107"/>
      <c r="P930" s="151"/>
    </row>
    <row r="931">
      <c r="J931" s="152"/>
      <c r="L931" s="290"/>
      <c r="O931" s="107"/>
      <c r="P931" s="151"/>
    </row>
    <row r="932">
      <c r="J932" s="152"/>
      <c r="L932" s="290"/>
      <c r="O932" s="107"/>
      <c r="P932" s="151"/>
    </row>
    <row r="933">
      <c r="J933" s="152"/>
      <c r="L933" s="290"/>
      <c r="O933" s="107"/>
      <c r="P933" s="151"/>
    </row>
    <row r="934">
      <c r="J934" s="152"/>
      <c r="L934" s="290"/>
      <c r="O934" s="107"/>
      <c r="P934" s="151"/>
    </row>
    <row r="935">
      <c r="J935" s="152"/>
      <c r="L935" s="290"/>
      <c r="O935" s="107"/>
      <c r="P935" s="151"/>
    </row>
    <row r="936">
      <c r="J936" s="152"/>
      <c r="L936" s="290"/>
      <c r="O936" s="107"/>
      <c r="P936" s="151"/>
    </row>
    <row r="937">
      <c r="J937" s="152"/>
      <c r="L937" s="290"/>
      <c r="O937" s="107"/>
      <c r="P937" s="151"/>
    </row>
    <row r="938">
      <c r="J938" s="152"/>
      <c r="L938" s="290"/>
      <c r="O938" s="107"/>
      <c r="P938" s="151"/>
    </row>
    <row r="939">
      <c r="J939" s="152"/>
      <c r="L939" s="290"/>
      <c r="O939" s="107"/>
      <c r="P939" s="151"/>
    </row>
    <row r="940">
      <c r="J940" s="152"/>
      <c r="L940" s="290"/>
      <c r="O940" s="107"/>
      <c r="P940" s="151"/>
    </row>
    <row r="941">
      <c r="J941" s="152"/>
      <c r="L941" s="290"/>
      <c r="O941" s="107"/>
      <c r="P941" s="151"/>
    </row>
    <row r="942">
      <c r="J942" s="152"/>
      <c r="L942" s="290"/>
      <c r="O942" s="107"/>
      <c r="P942" s="151"/>
    </row>
    <row r="943">
      <c r="J943" s="152"/>
      <c r="L943" s="290"/>
      <c r="O943" s="107"/>
      <c r="P943" s="151"/>
    </row>
    <row r="944">
      <c r="J944" s="152"/>
      <c r="L944" s="290"/>
      <c r="O944" s="107"/>
      <c r="P944" s="151"/>
    </row>
    <row r="945">
      <c r="J945" s="152"/>
      <c r="L945" s="290"/>
      <c r="O945" s="107"/>
      <c r="P945" s="151"/>
    </row>
    <row r="946">
      <c r="J946" s="152"/>
      <c r="L946" s="290"/>
      <c r="O946" s="107"/>
      <c r="P946" s="151"/>
    </row>
    <row r="947">
      <c r="J947" s="152"/>
      <c r="L947" s="290"/>
      <c r="O947" s="107"/>
      <c r="P947" s="151"/>
    </row>
    <row r="948">
      <c r="J948" s="152"/>
      <c r="L948" s="290"/>
      <c r="O948" s="107"/>
      <c r="P948" s="151"/>
    </row>
    <row r="949">
      <c r="J949" s="152"/>
      <c r="L949" s="290"/>
      <c r="O949" s="107"/>
      <c r="P949" s="151"/>
    </row>
    <row r="950">
      <c r="J950" s="152"/>
      <c r="L950" s="290"/>
      <c r="O950" s="107"/>
      <c r="P950" s="151"/>
    </row>
    <row r="951">
      <c r="J951" s="152"/>
      <c r="L951" s="290"/>
      <c r="O951" s="107"/>
      <c r="P951" s="151"/>
    </row>
    <row r="952">
      <c r="J952" s="152"/>
      <c r="L952" s="290"/>
      <c r="O952" s="107"/>
      <c r="P952" s="151"/>
    </row>
    <row r="953">
      <c r="J953" s="152"/>
      <c r="L953" s="290"/>
      <c r="O953" s="107"/>
      <c r="P953" s="151"/>
    </row>
    <row r="954">
      <c r="J954" s="152"/>
      <c r="L954" s="290"/>
      <c r="O954" s="107"/>
      <c r="P954" s="151"/>
    </row>
    <row r="955">
      <c r="J955" s="152"/>
      <c r="L955" s="290"/>
      <c r="O955" s="107"/>
      <c r="P955" s="151"/>
    </row>
    <row r="956">
      <c r="J956" s="152"/>
      <c r="L956" s="290"/>
      <c r="O956" s="107"/>
      <c r="P956" s="151"/>
    </row>
    <row r="957">
      <c r="J957" s="152"/>
      <c r="L957" s="290"/>
      <c r="O957" s="107"/>
      <c r="P957" s="151"/>
    </row>
    <row r="958">
      <c r="J958" s="152"/>
      <c r="L958" s="290"/>
      <c r="O958" s="107"/>
      <c r="P958" s="151"/>
    </row>
    <row r="959">
      <c r="J959" s="152"/>
      <c r="L959" s="290"/>
      <c r="O959" s="107"/>
      <c r="P959" s="151"/>
    </row>
    <row r="960">
      <c r="J960" s="152"/>
      <c r="L960" s="290"/>
      <c r="O960" s="107"/>
      <c r="P960" s="151"/>
    </row>
    <row r="961">
      <c r="J961" s="152"/>
      <c r="L961" s="290"/>
      <c r="O961" s="107"/>
      <c r="P961" s="151"/>
    </row>
    <row r="962">
      <c r="J962" s="152"/>
      <c r="L962" s="290"/>
      <c r="O962" s="107"/>
      <c r="P962" s="151"/>
    </row>
    <row r="963">
      <c r="J963" s="152"/>
      <c r="L963" s="290"/>
      <c r="O963" s="107"/>
      <c r="P963" s="151"/>
    </row>
    <row r="964">
      <c r="J964" s="152"/>
      <c r="L964" s="290"/>
      <c r="O964" s="107"/>
      <c r="P964" s="151"/>
    </row>
    <row r="965">
      <c r="J965" s="152"/>
      <c r="L965" s="290"/>
      <c r="O965" s="107"/>
      <c r="P965" s="151"/>
    </row>
    <row r="966">
      <c r="J966" s="152"/>
      <c r="L966" s="290"/>
      <c r="O966" s="107"/>
      <c r="P966" s="151"/>
    </row>
    <row r="967">
      <c r="J967" s="152"/>
      <c r="L967" s="290"/>
      <c r="O967" s="107"/>
      <c r="P967" s="151"/>
    </row>
    <row r="968">
      <c r="J968" s="152"/>
      <c r="L968" s="290"/>
      <c r="O968" s="107"/>
      <c r="P968" s="151"/>
    </row>
    <row r="969">
      <c r="J969" s="152"/>
      <c r="L969" s="290"/>
      <c r="O969" s="107"/>
      <c r="P969" s="151"/>
    </row>
    <row r="970">
      <c r="J970" s="152"/>
      <c r="L970" s="290"/>
      <c r="O970" s="107"/>
      <c r="P970" s="151"/>
    </row>
    <row r="971">
      <c r="J971" s="152"/>
      <c r="L971" s="290"/>
      <c r="O971" s="107"/>
      <c r="P971" s="151"/>
    </row>
    <row r="972">
      <c r="J972" s="152"/>
      <c r="L972" s="290"/>
      <c r="O972" s="107"/>
      <c r="P972" s="151"/>
    </row>
    <row r="973">
      <c r="J973" s="152"/>
      <c r="L973" s="290"/>
      <c r="O973" s="107"/>
      <c r="P973" s="151"/>
    </row>
    <row r="974">
      <c r="J974" s="152"/>
      <c r="L974" s="290"/>
      <c r="O974" s="107"/>
      <c r="P974" s="151"/>
    </row>
    <row r="975">
      <c r="J975" s="152"/>
      <c r="L975" s="290"/>
      <c r="O975" s="107"/>
      <c r="P975" s="151"/>
    </row>
    <row r="976">
      <c r="J976" s="152"/>
      <c r="L976" s="290"/>
      <c r="O976" s="107"/>
      <c r="P976" s="151"/>
    </row>
    <row r="977">
      <c r="J977" s="152"/>
      <c r="L977" s="290"/>
      <c r="O977" s="107"/>
      <c r="P977" s="151"/>
    </row>
    <row r="978">
      <c r="J978" s="152"/>
      <c r="L978" s="290"/>
      <c r="O978" s="107"/>
      <c r="P978" s="151"/>
    </row>
    <row r="979">
      <c r="J979" s="152"/>
      <c r="L979" s="290"/>
      <c r="O979" s="107"/>
      <c r="P979" s="151"/>
    </row>
    <row r="980">
      <c r="J980" s="152"/>
      <c r="L980" s="290"/>
      <c r="O980" s="107"/>
      <c r="P980" s="151"/>
    </row>
    <row r="981">
      <c r="J981" s="152"/>
      <c r="L981" s="290"/>
      <c r="O981" s="107"/>
      <c r="P981" s="151"/>
    </row>
    <row r="982">
      <c r="J982" s="152"/>
      <c r="L982" s="290"/>
      <c r="O982" s="107"/>
      <c r="P982" s="151"/>
    </row>
    <row r="983">
      <c r="J983" s="152"/>
      <c r="L983" s="290"/>
      <c r="O983" s="107"/>
      <c r="P983" s="151"/>
    </row>
    <row r="984">
      <c r="J984" s="152"/>
      <c r="L984" s="290"/>
      <c r="O984" s="107"/>
      <c r="P984" s="151"/>
    </row>
    <row r="985">
      <c r="J985" s="152"/>
      <c r="L985" s="290"/>
      <c r="O985" s="107"/>
      <c r="P985" s="151"/>
    </row>
    <row r="986">
      <c r="J986" s="152"/>
      <c r="L986" s="290"/>
      <c r="O986" s="107"/>
      <c r="P986" s="151"/>
    </row>
    <row r="987">
      <c r="J987" s="152"/>
      <c r="L987" s="290"/>
      <c r="O987" s="107"/>
      <c r="P987" s="151"/>
    </row>
    <row r="988">
      <c r="J988" s="152"/>
      <c r="L988" s="290"/>
      <c r="O988" s="107"/>
      <c r="P988" s="151"/>
    </row>
    <row r="989">
      <c r="J989" s="152"/>
      <c r="L989" s="290"/>
      <c r="O989" s="107"/>
      <c r="P989" s="151"/>
    </row>
    <row r="990">
      <c r="J990" s="152"/>
      <c r="L990" s="290"/>
      <c r="O990" s="107"/>
      <c r="P990" s="151"/>
    </row>
    <row r="991">
      <c r="J991" s="152"/>
      <c r="L991" s="290"/>
      <c r="O991" s="107"/>
      <c r="P991" s="151"/>
    </row>
    <row r="992">
      <c r="J992" s="152"/>
      <c r="L992" s="290"/>
      <c r="O992" s="107"/>
      <c r="P992" s="151"/>
    </row>
    <row r="993">
      <c r="J993" s="152"/>
      <c r="L993" s="290"/>
      <c r="O993" s="107"/>
      <c r="P993" s="151"/>
    </row>
    <row r="994">
      <c r="J994" s="152"/>
      <c r="L994" s="290"/>
      <c r="O994" s="107"/>
      <c r="P994" s="151"/>
    </row>
    <row r="995">
      <c r="J995" s="152"/>
      <c r="L995" s="290"/>
      <c r="O995" s="107"/>
      <c r="P995" s="151"/>
    </row>
    <row r="996">
      <c r="J996" s="152"/>
      <c r="L996" s="290"/>
      <c r="O996" s="107"/>
      <c r="P996" s="151"/>
    </row>
    <row r="997">
      <c r="J997" s="152"/>
      <c r="L997" s="290"/>
      <c r="O997" s="107"/>
      <c r="P997" s="151"/>
    </row>
    <row r="998">
      <c r="J998" s="152"/>
      <c r="L998" s="290"/>
      <c r="O998" s="107"/>
      <c r="P998" s="151"/>
    </row>
    <row r="999">
      <c r="J999" s="152"/>
      <c r="L999" s="290"/>
      <c r="O999" s="107"/>
      <c r="P999" s="151"/>
    </row>
    <row r="1000">
      <c r="J1000" s="152"/>
      <c r="L1000" s="290"/>
      <c r="O1000" s="107"/>
      <c r="P1000" s="151"/>
    </row>
  </sheetData>
  <mergeCells count="19">
    <mergeCell ref="I3:I5"/>
    <mergeCell ref="J3:J5"/>
    <mergeCell ref="B6:B10"/>
    <mergeCell ref="B12:B15"/>
    <mergeCell ref="B17:B21"/>
    <mergeCell ref="B23:B27"/>
    <mergeCell ref="K3:K5"/>
    <mergeCell ref="L3:L4"/>
    <mergeCell ref="N3:N4"/>
    <mergeCell ref="O3:O4"/>
    <mergeCell ref="P3:P4"/>
    <mergeCell ref="N5:P5"/>
    <mergeCell ref="B1:W2"/>
    <mergeCell ref="B3:B5"/>
    <mergeCell ref="C3:C5"/>
    <mergeCell ref="D3:D4"/>
    <mergeCell ref="E3:E5"/>
    <mergeCell ref="F3:F5"/>
    <mergeCell ref="G3:G5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5"/>
  </cols>
  <sheetData>
    <row r="1">
      <c r="A1" s="291" t="s">
        <v>1185</v>
      </c>
      <c r="B1" s="292" t="s">
        <v>1186</v>
      </c>
      <c r="C1" s="292" t="s">
        <v>1187</v>
      </c>
      <c r="D1" s="292" t="s">
        <v>1188</v>
      </c>
      <c r="E1" s="292" t="s">
        <v>1189</v>
      </c>
      <c r="F1" s="292" t="s">
        <v>1190</v>
      </c>
    </row>
    <row r="2">
      <c r="A2" s="54" t="s">
        <v>53</v>
      </c>
      <c r="B2" s="293">
        <v>-98027.0</v>
      </c>
      <c r="C2" s="293">
        <v>52.89</v>
      </c>
      <c r="D2" s="293">
        <v>-5448012.0</v>
      </c>
      <c r="E2" s="293">
        <v>2733.7</v>
      </c>
      <c r="F2" s="293">
        <v>-3.78</v>
      </c>
    </row>
    <row r="3">
      <c r="A3" s="54" t="s">
        <v>45</v>
      </c>
      <c r="B3" s="293">
        <v>-32596.0</v>
      </c>
      <c r="C3" s="293">
        <v>23.34</v>
      </c>
      <c r="D3" s="293">
        <v>-4873038.0</v>
      </c>
      <c r="E3" s="293">
        <v>2416.0</v>
      </c>
      <c r="F3" s="293">
        <v>2.04</v>
      </c>
    </row>
    <row r="4">
      <c r="A4" s="54" t="s">
        <v>48</v>
      </c>
      <c r="B4" s="293">
        <v>-804112.0</v>
      </c>
      <c r="C4" s="293">
        <v>408.7</v>
      </c>
      <c r="D4" s="293">
        <v>-3969553.0</v>
      </c>
      <c r="E4" s="293">
        <v>1980.1</v>
      </c>
      <c r="F4" s="293">
        <v>-0.157</v>
      </c>
    </row>
    <row r="5">
      <c r="A5" s="54" t="s">
        <v>255</v>
      </c>
      <c r="B5" s="293">
        <v>-839395.0</v>
      </c>
      <c r="C5" s="293">
        <v>423.0</v>
      </c>
      <c r="D5" s="293">
        <v>-5890607.0</v>
      </c>
      <c r="E5" s="293">
        <v>2939.0</v>
      </c>
      <c r="F5" s="293">
        <v>-0.29</v>
      </c>
    </row>
    <row r="6">
      <c r="A6" s="54" t="s">
        <v>323</v>
      </c>
      <c r="B6" s="293">
        <v>-326514.0</v>
      </c>
      <c r="C6" s="293">
        <v>167.6</v>
      </c>
      <c r="D6" s="293">
        <v>-4559398.0</v>
      </c>
      <c r="E6" s="293">
        <v>2279.02</v>
      </c>
      <c r="F6" s="293">
        <v>-0.1786</v>
      </c>
    </row>
    <row r="7">
      <c r="A7" s="54" t="s">
        <v>50</v>
      </c>
      <c r="B7" s="293">
        <v>-240135.0</v>
      </c>
      <c r="C7" s="293">
        <v>124.7</v>
      </c>
      <c r="D7" s="293">
        <v>-4158404.0</v>
      </c>
      <c r="E7" s="293">
        <v>2075.0</v>
      </c>
      <c r="F7" s="293">
        <v>-0.619</v>
      </c>
    </row>
    <row r="8">
      <c r="A8" s="54" t="s">
        <v>42</v>
      </c>
      <c r="B8" s="293">
        <v>-3053059.0</v>
      </c>
      <c r="C8" s="293">
        <v>1541.0</v>
      </c>
      <c r="D8" s="293">
        <v>-8960943.0</v>
      </c>
      <c r="E8" s="293">
        <v>4466.0</v>
      </c>
      <c r="F8" s="293">
        <v>-0.091</v>
      </c>
    </row>
    <row r="9">
      <c r="A9" s="54" t="s">
        <v>256</v>
      </c>
      <c r="B9" s="293">
        <v>-226838.0</v>
      </c>
      <c r="C9" s="293">
        <v>117.7</v>
      </c>
      <c r="D9" s="293">
        <v>-3654781.0</v>
      </c>
      <c r="E9" s="293">
        <v>1821.1</v>
      </c>
      <c r="F9" s="293">
        <v>0.78</v>
      </c>
    </row>
    <row r="10">
      <c r="A10" s="54" t="s">
        <v>252</v>
      </c>
      <c r="B10" s="293">
        <v>-101886.0</v>
      </c>
      <c r="C10" s="293">
        <v>54.15</v>
      </c>
      <c r="D10" s="293">
        <v>-3.1117591E7</v>
      </c>
      <c r="E10" s="293">
        <v>15611.0</v>
      </c>
      <c r="F10" s="293">
        <v>-28.5</v>
      </c>
    </row>
    <row r="11">
      <c r="A11" s="54" t="s">
        <v>331</v>
      </c>
      <c r="B11" s="293">
        <v>-322395.0</v>
      </c>
      <c r="C11" s="293">
        <v>167.3</v>
      </c>
      <c r="D11" s="293">
        <v>-4464998.0</v>
      </c>
      <c r="E11" s="293">
        <v>2220.0</v>
      </c>
      <c r="F11" s="293">
        <v>1.22</v>
      </c>
    </row>
    <row r="12">
      <c r="A12" s="54" t="s">
        <v>243</v>
      </c>
      <c r="B12" s="293">
        <v>-204065.0</v>
      </c>
      <c r="C12" s="293">
        <v>105.3</v>
      </c>
      <c r="D12" s="293">
        <v>-1.1645354E7</v>
      </c>
      <c r="E12" s="293">
        <v>5837.0</v>
      </c>
      <c r="F12" s="293">
        <v>-10.28</v>
      </c>
    </row>
    <row r="13">
      <c r="A13" s="54" t="s">
        <v>44</v>
      </c>
      <c r="B13" s="293">
        <v>-1374540.0</v>
      </c>
      <c r="C13" s="293">
        <v>693.6</v>
      </c>
      <c r="D13" s="293">
        <v>-5895903.0</v>
      </c>
      <c r="E13" s="293">
        <v>2929.0</v>
      </c>
      <c r="F13" s="293">
        <v>1.24</v>
      </c>
    </row>
    <row r="14">
      <c r="A14" s="54" t="s">
        <v>342</v>
      </c>
      <c r="B14" s="293">
        <v>-717856.0</v>
      </c>
      <c r="C14" s="293">
        <v>360.1</v>
      </c>
      <c r="D14" s="293">
        <v>-3571724.0</v>
      </c>
      <c r="E14" s="293">
        <v>1782.5</v>
      </c>
      <c r="F14" s="293">
        <v>0.362</v>
      </c>
    </row>
    <row r="15">
      <c r="A15" s="54" t="s">
        <v>27</v>
      </c>
      <c r="B15" s="293">
        <v>-1094066.0</v>
      </c>
      <c r="C15" s="293">
        <v>560.4</v>
      </c>
      <c r="D15" s="293">
        <v>-7191267.0</v>
      </c>
      <c r="E15" s="293">
        <v>3572.0</v>
      </c>
      <c r="F15" s="293">
        <v>0.8</v>
      </c>
    </row>
    <row r="16">
      <c r="A16" s="54" t="s">
        <v>54</v>
      </c>
      <c r="B16" s="293">
        <v>-588282.0</v>
      </c>
      <c r="C16" s="293">
        <v>301.4</v>
      </c>
      <c r="D16" s="293">
        <v>-5817120.0</v>
      </c>
      <c r="E16" s="293">
        <v>2907.6</v>
      </c>
      <c r="F16" s="293">
        <v>-1.094</v>
      </c>
    </row>
    <row r="17">
      <c r="A17" s="54" t="s">
        <v>332</v>
      </c>
      <c r="B17" s="293">
        <v>-38783.0</v>
      </c>
      <c r="C17" s="293">
        <v>23.41</v>
      </c>
      <c r="D17" s="293">
        <v>-5472128.0</v>
      </c>
      <c r="E17" s="293">
        <v>2734.8</v>
      </c>
      <c r="F17" s="293">
        <v>-2.08</v>
      </c>
    </row>
    <row r="18">
      <c r="A18" s="54" t="s">
        <v>81</v>
      </c>
      <c r="B18" s="293">
        <v>-374407.0</v>
      </c>
      <c r="C18" s="293">
        <v>193.5</v>
      </c>
      <c r="D18" s="293">
        <v>-5700477.0</v>
      </c>
      <c r="E18" s="293">
        <v>2834.0</v>
      </c>
      <c r="F18" s="293">
        <v>0.81</v>
      </c>
    </row>
    <row r="19">
      <c r="A19" s="54" t="s">
        <v>103</v>
      </c>
      <c r="B19" s="293">
        <v>-133757.0</v>
      </c>
      <c r="C19" s="293">
        <v>75.4</v>
      </c>
      <c r="D19" s="293">
        <v>-5639124.0</v>
      </c>
      <c r="E19" s="293">
        <v>2801.0</v>
      </c>
      <c r="F19" s="293">
        <v>1.26</v>
      </c>
    </row>
    <row r="20">
      <c r="A20" s="54" t="s">
        <v>106</v>
      </c>
      <c r="B20" s="293">
        <v>41032.0</v>
      </c>
      <c r="C20" s="293">
        <v>-15.25</v>
      </c>
      <c r="D20" s="293">
        <v>-7679161.0</v>
      </c>
      <c r="E20" s="293">
        <v>3818.0</v>
      </c>
      <c r="F20" s="293">
        <v>0.74</v>
      </c>
    </row>
    <row r="21">
      <c r="A21" s="54" t="s">
        <v>65</v>
      </c>
      <c r="B21" s="293">
        <v>-32508.0</v>
      </c>
      <c r="C21" s="293">
        <v>19.49</v>
      </c>
      <c r="D21" s="293">
        <v>-8937980.0</v>
      </c>
      <c r="E21" s="293">
        <v>4643.0</v>
      </c>
      <c r="F21" s="293">
        <v>-56.9</v>
      </c>
    </row>
    <row r="22">
      <c r="A22" s="54" t="s">
        <v>102</v>
      </c>
      <c r="B22" s="293">
        <v>-42575.0</v>
      </c>
      <c r="C22" s="293">
        <v>23.98</v>
      </c>
      <c r="D22" s="293">
        <v>-3385342.0</v>
      </c>
      <c r="E22" s="293">
        <v>1684.0</v>
      </c>
      <c r="F22" s="293">
        <v>2.06</v>
      </c>
    </row>
    <row r="23">
      <c r="A23" s="54" t="s">
        <v>78</v>
      </c>
      <c r="B23" s="293">
        <v>-94654.0</v>
      </c>
      <c r="C23" s="293">
        <v>49.37</v>
      </c>
      <c r="D23" s="293">
        <v>-2186264.0</v>
      </c>
      <c r="E23" s="293">
        <v>1081.0</v>
      </c>
      <c r="F23" s="293">
        <v>5.87</v>
      </c>
    </row>
    <row r="24">
      <c r="A24" s="54" t="s">
        <v>86</v>
      </c>
      <c r="B24" s="293">
        <v>-481445.0</v>
      </c>
      <c r="C24" s="293">
        <v>247.9</v>
      </c>
      <c r="D24" s="293">
        <v>-3994280.0</v>
      </c>
      <c r="E24" s="293">
        <v>1994.8</v>
      </c>
      <c r="F24" s="293">
        <v>0.133</v>
      </c>
    </row>
    <row r="25">
      <c r="A25" s="54" t="s">
        <v>286</v>
      </c>
      <c r="B25" s="293">
        <v>8080.0</v>
      </c>
      <c r="C25" s="293">
        <v>-0.27</v>
      </c>
      <c r="D25" s="293">
        <v>-1.0468336E7</v>
      </c>
      <c r="E25" s="293">
        <v>5230.0</v>
      </c>
      <c r="F25" s="293">
        <v>-2.6</v>
      </c>
    </row>
    <row r="26">
      <c r="A26" s="54" t="s">
        <v>90</v>
      </c>
      <c r="B26" s="293">
        <v>-170053.0</v>
      </c>
      <c r="C26" s="293">
        <v>88.55</v>
      </c>
      <c r="D26" s="293">
        <v>-4218089.0</v>
      </c>
      <c r="E26" s="293">
        <v>2102.0</v>
      </c>
      <c r="F26" s="293">
        <v>0.18</v>
      </c>
    </row>
    <row r="27">
      <c r="A27" s="54" t="s">
        <v>76</v>
      </c>
      <c r="B27" s="293">
        <v>-1059970.0</v>
      </c>
      <c r="C27" s="293">
        <v>537.3</v>
      </c>
      <c r="D27" s="293">
        <v>-9999377.0</v>
      </c>
      <c r="E27" s="293">
        <v>4982.0</v>
      </c>
      <c r="F27" s="293">
        <v>-0.436</v>
      </c>
    </row>
    <row r="28">
      <c r="A28" s="54" t="s">
        <v>87</v>
      </c>
      <c r="B28" s="293">
        <v>-341308.0</v>
      </c>
      <c r="C28" s="293">
        <v>177.0</v>
      </c>
      <c r="D28" s="293">
        <v>-2756678.0</v>
      </c>
      <c r="E28" s="293">
        <v>1373.0</v>
      </c>
      <c r="F28" s="293">
        <v>0.381</v>
      </c>
    </row>
    <row r="29">
      <c r="A29" s="54" t="s">
        <v>358</v>
      </c>
      <c r="B29" s="293">
        <v>-3262492.0</v>
      </c>
      <c r="C29" s="293">
        <v>1635.0</v>
      </c>
      <c r="D29" s="293">
        <v>-2268513.0</v>
      </c>
      <c r="E29" s="293">
        <v>1131.0</v>
      </c>
      <c r="F29" s="293">
        <v>0.04</v>
      </c>
    </row>
    <row r="30">
      <c r="A30" s="54" t="s">
        <v>85</v>
      </c>
      <c r="B30" s="293">
        <v>-46469.0</v>
      </c>
      <c r="C30" s="293">
        <v>26.72</v>
      </c>
      <c r="D30" s="293">
        <v>-4595503.0</v>
      </c>
      <c r="E30" s="293">
        <v>2304.2</v>
      </c>
      <c r="F30" s="293">
        <v>-4.0</v>
      </c>
    </row>
    <row r="31">
      <c r="A31" s="54" t="s">
        <v>114</v>
      </c>
      <c r="B31" s="293">
        <v>-1696946.0</v>
      </c>
      <c r="C31" s="293">
        <v>852.3</v>
      </c>
      <c r="D31" s="293">
        <v>-5699106.0</v>
      </c>
      <c r="E31" s="293">
        <v>2832.0</v>
      </c>
      <c r="F31" s="293">
        <v>0.485</v>
      </c>
    </row>
    <row r="32">
      <c r="A32" s="54" t="s">
        <v>99</v>
      </c>
      <c r="B32" s="293">
        <v>-519605.0</v>
      </c>
      <c r="C32" s="293">
        <v>267.8</v>
      </c>
      <c r="D32" s="293">
        <v>-6358407.0</v>
      </c>
      <c r="E32" s="293">
        <v>3178.0</v>
      </c>
      <c r="F32" s="293">
        <v>-0.9</v>
      </c>
    </row>
    <row r="33">
      <c r="A33" s="54" t="s">
        <v>178</v>
      </c>
      <c r="B33" s="293">
        <v>-121582.0</v>
      </c>
      <c r="C33" s="293">
        <v>62.93</v>
      </c>
      <c r="D33" s="293">
        <v>-8671224.0</v>
      </c>
      <c r="E33" s="293">
        <v>4312.0</v>
      </c>
      <c r="F33" s="293">
        <v>5.0</v>
      </c>
    </row>
    <row r="34">
      <c r="A34" s="54" t="s">
        <v>83</v>
      </c>
      <c r="B34" s="293">
        <v>-21267.0</v>
      </c>
      <c r="C34" s="293">
        <v>12.4</v>
      </c>
      <c r="D34" s="293">
        <v>-7075883.0</v>
      </c>
      <c r="E34" s="293">
        <v>3569.0</v>
      </c>
      <c r="F34" s="293">
        <v>-22.7</v>
      </c>
    </row>
    <row r="35">
      <c r="A35" s="58" t="s">
        <v>262</v>
      </c>
      <c r="B35" s="293">
        <v>-1708849.0</v>
      </c>
      <c r="C35" s="293">
        <v>854.1</v>
      </c>
      <c r="D35" s="293">
        <v>-1.1229596E7</v>
      </c>
      <c r="E35" s="293">
        <v>5608.0</v>
      </c>
      <c r="F35" s="293">
        <v>-0.6</v>
      </c>
    </row>
    <row r="36">
      <c r="A36" s="58" t="s">
        <v>172</v>
      </c>
      <c r="B36" s="293">
        <v>-5094.0</v>
      </c>
      <c r="C36" s="293">
        <v>4.222</v>
      </c>
      <c r="D36" s="293">
        <v>-6647740.0</v>
      </c>
      <c r="E36" s="293">
        <v>3352.0</v>
      </c>
      <c r="F36" s="293">
        <v>-21.0</v>
      </c>
    </row>
    <row r="37">
      <c r="A37" s="54" t="s">
        <v>143</v>
      </c>
      <c r="B37" s="293">
        <v>-529436.0</v>
      </c>
      <c r="C37" s="293">
        <v>269.1</v>
      </c>
      <c r="D37" s="293">
        <v>-4.731973E7</v>
      </c>
      <c r="E37" s="293">
        <v>23556.0</v>
      </c>
      <c r="F37" s="293">
        <v>-0.6</v>
      </c>
    </row>
    <row r="38">
      <c r="A38" s="58" t="s">
        <v>193</v>
      </c>
      <c r="B38" s="293">
        <v>-2511.0</v>
      </c>
      <c r="C38" s="293">
        <v>4.16</v>
      </c>
      <c r="D38" s="293">
        <v>-4247368.0</v>
      </c>
      <c r="E38" s="293">
        <v>2188.0</v>
      </c>
      <c r="F38" s="293">
        <v>-18.02</v>
      </c>
    </row>
    <row r="39">
      <c r="A39" s="58" t="s">
        <v>167</v>
      </c>
      <c r="B39" s="293">
        <v>1559.0</v>
      </c>
      <c r="C39" s="293">
        <v>0.562</v>
      </c>
      <c r="D39" s="293">
        <v>-1.4113146E7</v>
      </c>
      <c r="E39" s="293">
        <v>6990.0</v>
      </c>
      <c r="F39" s="293">
        <v>42.0</v>
      </c>
    </row>
    <row r="40">
      <c r="A40" s="58" t="s">
        <v>315</v>
      </c>
      <c r="B40" s="293">
        <v>-11345.0</v>
      </c>
      <c r="C40" s="293">
        <v>6.997</v>
      </c>
      <c r="D40" s="293">
        <v>-2776948.0</v>
      </c>
      <c r="E40" s="293">
        <v>1397.7</v>
      </c>
      <c r="F40" s="293">
        <v>1.11</v>
      </c>
    </row>
    <row r="41">
      <c r="A41" s="58" t="s">
        <v>191</v>
      </c>
      <c r="B41" s="293">
        <v>-2382.0</v>
      </c>
      <c r="C41" s="293">
        <v>2.656</v>
      </c>
      <c r="D41" s="293">
        <v>-5402852.0</v>
      </c>
      <c r="E41" s="293">
        <v>2704.0</v>
      </c>
      <c r="F41" s="293">
        <v>-6.9</v>
      </c>
    </row>
    <row r="42">
      <c r="A42" s="58" t="s">
        <v>273</v>
      </c>
      <c r="B42" s="293">
        <v>599.0</v>
      </c>
      <c r="C42" s="293">
        <v>1.992</v>
      </c>
      <c r="D42" s="293">
        <v>-1.3174217E7</v>
      </c>
      <c r="E42" s="293">
        <v>6707.0</v>
      </c>
      <c r="F42" s="293">
        <v>-53.8</v>
      </c>
    </row>
    <row r="43">
      <c r="A43" s="54" t="s">
        <v>148</v>
      </c>
      <c r="B43" s="293">
        <v>-5866.0</v>
      </c>
      <c r="C43" s="293">
        <v>4.66</v>
      </c>
      <c r="D43" s="293">
        <v>-1.3345296E7</v>
      </c>
      <c r="E43" s="293">
        <v>6644.0</v>
      </c>
      <c r="F43" s="293">
        <v>5.2</v>
      </c>
    </row>
    <row r="44">
      <c r="A44" s="54" t="s">
        <v>264</v>
      </c>
      <c r="B44" s="293">
        <v>-44990.0</v>
      </c>
      <c r="C44" s="293">
        <v>23.82</v>
      </c>
      <c r="D44" s="293">
        <v>-6814645.0</v>
      </c>
      <c r="E44" s="293">
        <v>3422.0</v>
      </c>
      <c r="F44" s="293">
        <v>-14.5</v>
      </c>
    </row>
    <row r="45">
      <c r="A45" s="58" t="s">
        <v>279</v>
      </c>
      <c r="B45" s="293">
        <v>-52482.0</v>
      </c>
      <c r="C45" s="293">
        <v>27.58</v>
      </c>
      <c r="D45" s="293">
        <v>-1.4166525E7</v>
      </c>
      <c r="E45" s="293">
        <v>7145.0</v>
      </c>
      <c r="F45" s="293">
        <v>-53.8</v>
      </c>
    </row>
    <row r="46">
      <c r="A46" s="58" t="s">
        <v>165</v>
      </c>
      <c r="B46" s="293">
        <v>-19526.0</v>
      </c>
      <c r="C46" s="293">
        <v>10.26</v>
      </c>
      <c r="D46" s="293">
        <v>-6152624.0</v>
      </c>
      <c r="E46" s="293">
        <v>3070.0</v>
      </c>
      <c r="F46" s="293">
        <v>-5.83</v>
      </c>
    </row>
    <row r="47">
      <c r="A47" s="58" t="s">
        <v>274</v>
      </c>
      <c r="B47" s="293">
        <v>15283.0</v>
      </c>
      <c r="C47" s="293">
        <v>-5.55</v>
      </c>
      <c r="D47" s="293">
        <v>-1.366941E7</v>
      </c>
      <c r="E47" s="293">
        <v>6875.0</v>
      </c>
      <c r="F47" s="293">
        <v>-24.8</v>
      </c>
    </row>
    <row r="48">
      <c r="A48" s="58" t="s">
        <v>280</v>
      </c>
      <c r="B48" s="293">
        <v>-4454.0</v>
      </c>
      <c r="C48" s="293">
        <v>3.748</v>
      </c>
      <c r="D48" s="293">
        <v>-1.2203904E7</v>
      </c>
      <c r="E48" s="293">
        <v>6359.0</v>
      </c>
      <c r="F48" s="293">
        <v>-176.2</v>
      </c>
    </row>
    <row r="49">
      <c r="A49" s="58" t="s">
        <v>159</v>
      </c>
      <c r="B49" s="293">
        <v>-13654.0</v>
      </c>
      <c r="C49" s="293">
        <v>8.12</v>
      </c>
      <c r="D49" s="293">
        <v>-2.59053E7</v>
      </c>
      <c r="E49" s="293">
        <v>13002.0</v>
      </c>
      <c r="F49" s="293">
        <v>-75.4</v>
      </c>
    </row>
    <row r="50">
      <c r="A50" s="54" t="s">
        <v>155</v>
      </c>
      <c r="B50" s="293">
        <v>-394.0</v>
      </c>
      <c r="C50" s="293">
        <v>1.664</v>
      </c>
      <c r="D50" s="293">
        <v>-9649864.0</v>
      </c>
      <c r="E50" s="293">
        <v>4808.0</v>
      </c>
      <c r="F50" s="293">
        <v>12.8</v>
      </c>
    </row>
    <row r="51">
      <c r="A51" s="58" t="s">
        <v>152</v>
      </c>
      <c r="B51" s="293">
        <v>-1344.0</v>
      </c>
      <c r="C51" s="293">
        <v>1.617</v>
      </c>
      <c r="D51" s="293">
        <v>-6106778.0</v>
      </c>
      <c r="E51" s="293">
        <v>3230.0</v>
      </c>
      <c r="F51" s="293">
        <v>-187.3</v>
      </c>
    </row>
    <row r="52">
      <c r="A52" s="58" t="s">
        <v>196</v>
      </c>
      <c r="B52" s="293">
        <v>-73777.0</v>
      </c>
      <c r="C52" s="293">
        <v>40.86</v>
      </c>
      <c r="D52" s="293">
        <v>-6620414.0</v>
      </c>
      <c r="E52" s="293">
        <v>3309.0</v>
      </c>
      <c r="F52" s="293">
        <v>-2.43</v>
      </c>
    </row>
    <row r="53">
      <c r="A53" s="58" t="s">
        <v>270</v>
      </c>
      <c r="B53" s="293">
        <v>-20816.0</v>
      </c>
      <c r="C53" s="293">
        <v>12.51</v>
      </c>
      <c r="D53" s="293">
        <v>-2.4833475E7</v>
      </c>
      <c r="E53" s="293">
        <v>12411.0</v>
      </c>
      <c r="F53" s="293">
        <v>-20.6</v>
      </c>
    </row>
    <row r="54">
      <c r="A54" s="58" t="s">
        <v>260</v>
      </c>
      <c r="B54" s="293">
        <v>-53869.0</v>
      </c>
      <c r="C54" s="293">
        <v>29.99</v>
      </c>
      <c r="D54" s="293">
        <v>-1.0743275E7</v>
      </c>
      <c r="E54" s="293">
        <v>5396.0</v>
      </c>
      <c r="F54" s="293">
        <v>-9.92</v>
      </c>
    </row>
    <row r="55">
      <c r="A55" s="54" t="s">
        <v>297</v>
      </c>
      <c r="B55" s="293">
        <v>-4353.0</v>
      </c>
      <c r="C55" s="293">
        <v>4.22</v>
      </c>
      <c r="D55" s="293">
        <v>-7863155.0</v>
      </c>
      <c r="E55" s="293">
        <v>3918.0</v>
      </c>
      <c r="F55" s="293">
        <v>1.2</v>
      </c>
    </row>
    <row r="56">
      <c r="A56" s="58" t="s">
        <v>277</v>
      </c>
      <c r="B56" s="293">
        <v>-17920.0</v>
      </c>
      <c r="C56" s="293">
        <v>10.91</v>
      </c>
      <c r="D56" s="293">
        <v>-1.208054E7</v>
      </c>
      <c r="E56" s="293">
        <v>6072.0</v>
      </c>
      <c r="F56" s="293">
        <v>-18.1</v>
      </c>
    </row>
    <row r="57">
      <c r="A57" s="54" t="s">
        <v>92</v>
      </c>
      <c r="B57" s="293">
        <v>-166506.0</v>
      </c>
      <c r="C57" s="293">
        <v>86.07</v>
      </c>
      <c r="D57" s="293">
        <v>-2.4323782E7</v>
      </c>
      <c r="E57" s="293">
        <v>12195.0</v>
      </c>
      <c r="F57" s="293">
        <v>-18.9</v>
      </c>
    </row>
    <row r="58">
      <c r="A58" s="58" t="s">
        <v>317</v>
      </c>
      <c r="B58" s="293">
        <v>-14468.0</v>
      </c>
      <c r="C58" s="293">
        <v>10.45</v>
      </c>
      <c r="D58" s="293">
        <v>-6211045.0</v>
      </c>
      <c r="E58" s="293">
        <v>3112.0</v>
      </c>
      <c r="F58" s="293">
        <v>-4.48</v>
      </c>
    </row>
    <row r="59">
      <c r="A59" s="54" t="s">
        <v>229</v>
      </c>
      <c r="B59" s="293">
        <v>-302682.0</v>
      </c>
      <c r="C59" s="293">
        <v>153.6</v>
      </c>
      <c r="D59" s="293">
        <v>-1.3923616E7</v>
      </c>
      <c r="E59" s="293">
        <v>6952.0</v>
      </c>
      <c r="F59" s="293">
        <v>-5.69</v>
      </c>
    </row>
    <row r="60">
      <c r="A60" s="54" t="s">
        <v>147</v>
      </c>
      <c r="B60" s="293">
        <v>-1139.0</v>
      </c>
      <c r="C60" s="293">
        <v>1.949</v>
      </c>
      <c r="D60" s="293">
        <v>-7529118.0</v>
      </c>
      <c r="E60" s="293">
        <v>4002.0</v>
      </c>
      <c r="F60" s="293">
        <v>-173.9</v>
      </c>
    </row>
    <row r="61">
      <c r="A61" s="58" t="s">
        <v>316</v>
      </c>
      <c r="B61" s="293">
        <v>7495.0</v>
      </c>
      <c r="C61" s="293">
        <v>-2.106</v>
      </c>
      <c r="D61" s="293">
        <v>-6331070.0</v>
      </c>
      <c r="E61" s="293">
        <v>3135.0</v>
      </c>
      <c r="F61" s="293">
        <v>13.6</v>
      </c>
    </row>
    <row r="62">
      <c r="A62" s="58" t="s">
        <v>194</v>
      </c>
      <c r="B62" s="293">
        <v>9948.0</v>
      </c>
      <c r="C62" s="293">
        <v>-2.66</v>
      </c>
      <c r="D62" s="293">
        <v>-1.1608796E7</v>
      </c>
      <c r="E62" s="293">
        <v>5832.0</v>
      </c>
      <c r="F62" s="293">
        <v>-15.9</v>
      </c>
    </row>
    <row r="63">
      <c r="A63" s="58" t="s">
        <v>197</v>
      </c>
      <c r="B63" s="293">
        <v>38239.0</v>
      </c>
      <c r="C63" s="293">
        <v>-17.28</v>
      </c>
      <c r="D63" s="293">
        <v>-8787908.0</v>
      </c>
      <c r="E63" s="293">
        <v>4428.0</v>
      </c>
      <c r="F63" s="293">
        <v>-22.2</v>
      </c>
    </row>
    <row r="64">
      <c r="A64" s="58" t="s">
        <v>186</v>
      </c>
      <c r="B64" s="293">
        <v>-39881.0</v>
      </c>
      <c r="C64" s="293">
        <v>22.48</v>
      </c>
      <c r="D64" s="293">
        <v>-9096601.0</v>
      </c>
      <c r="E64" s="293">
        <v>4556.0</v>
      </c>
      <c r="F64" s="293">
        <v>-2.45</v>
      </c>
    </row>
    <row r="65">
      <c r="A65" s="58" t="s">
        <v>190</v>
      </c>
      <c r="B65" s="293">
        <v>-11.0</v>
      </c>
      <c r="C65" s="293">
        <v>1.849</v>
      </c>
      <c r="D65" s="293">
        <v>-1.1722875E7</v>
      </c>
      <c r="E65" s="293">
        <v>6073.0</v>
      </c>
      <c r="F65" s="293">
        <v>-123.0</v>
      </c>
    </row>
    <row r="66">
      <c r="A66" s="54" t="s">
        <v>284</v>
      </c>
      <c r="B66" s="293">
        <v>8511.0</v>
      </c>
      <c r="C66" s="293">
        <v>-0.52</v>
      </c>
      <c r="D66" s="293">
        <v>-9381792.0</v>
      </c>
      <c r="E66" s="293">
        <v>4734.0</v>
      </c>
      <c r="F66" s="293">
        <v>-13.6</v>
      </c>
    </row>
    <row r="67">
      <c r="A67" s="58" t="s">
        <v>330</v>
      </c>
      <c r="B67" s="293">
        <v>-123.0</v>
      </c>
      <c r="C67" s="293">
        <v>1.293</v>
      </c>
      <c r="D67" s="293">
        <v>-4883990.0</v>
      </c>
      <c r="E67" s="293">
        <v>2429.0</v>
      </c>
      <c r="F67" s="293">
        <v>6.5</v>
      </c>
    </row>
    <row r="68">
      <c r="A68" s="54" t="s">
        <v>233</v>
      </c>
      <c r="B68" s="293">
        <v>-19201.0</v>
      </c>
      <c r="C68" s="293">
        <v>11.42</v>
      </c>
      <c r="D68" s="293">
        <v>-3059239.0</v>
      </c>
      <c r="E68" s="293">
        <v>1514.0</v>
      </c>
      <c r="F68" s="293">
        <v>7.0</v>
      </c>
    </row>
    <row r="69">
      <c r="A69" s="54" t="s">
        <v>271</v>
      </c>
      <c r="B69" s="293">
        <v>-153895.0</v>
      </c>
      <c r="C69" s="293">
        <v>78.58</v>
      </c>
      <c r="D69" s="293">
        <v>-2.116536E7</v>
      </c>
      <c r="E69" s="293">
        <v>10538.0</v>
      </c>
      <c r="F69" s="293">
        <v>5.59</v>
      </c>
    </row>
    <row r="70">
      <c r="A70" s="58" t="s">
        <v>16</v>
      </c>
      <c r="B70" s="293">
        <v>-136003.0</v>
      </c>
      <c r="C70" s="293">
        <v>71.41</v>
      </c>
      <c r="D70" s="293">
        <v>-1.4992467E7</v>
      </c>
      <c r="E70" s="293">
        <v>7495.0</v>
      </c>
      <c r="F70" s="293">
        <v>-1.79</v>
      </c>
    </row>
    <row r="71">
      <c r="A71" s="58" t="s">
        <v>221</v>
      </c>
      <c r="B71" s="293">
        <v>-5656.0</v>
      </c>
      <c r="C71" s="293">
        <v>4.87</v>
      </c>
      <c r="D71" s="293">
        <v>-4596740.0</v>
      </c>
      <c r="E71" s="293">
        <v>2296.0</v>
      </c>
      <c r="F71" s="293">
        <v>5.72</v>
      </c>
    </row>
    <row r="72">
      <c r="A72" s="54" t="s">
        <v>261</v>
      </c>
      <c r="B72" s="293">
        <v>-16789.0</v>
      </c>
      <c r="C72" s="293">
        <v>10.18</v>
      </c>
      <c r="D72" s="293">
        <v>-2897372.0</v>
      </c>
      <c r="E72" s="293">
        <v>1439.0</v>
      </c>
      <c r="F72" s="293">
        <v>9.3</v>
      </c>
    </row>
    <row r="73">
      <c r="A73" s="54" t="s">
        <v>295</v>
      </c>
      <c r="B73" s="293">
        <v>-43783.0</v>
      </c>
      <c r="C73" s="293">
        <v>24.38</v>
      </c>
      <c r="D73" s="293">
        <v>-7674346.0</v>
      </c>
      <c r="E73" s="293">
        <v>3891.0</v>
      </c>
      <c r="F73" s="293">
        <v>-22.0</v>
      </c>
    </row>
    <row r="74">
      <c r="A74" s="54" t="s">
        <v>149</v>
      </c>
      <c r="B74" s="293">
        <v>-12114.0</v>
      </c>
      <c r="C74" s="293">
        <v>7.895</v>
      </c>
      <c r="D74" s="293">
        <v>-8463334.0</v>
      </c>
      <c r="E74" s="293">
        <v>4194.0</v>
      </c>
      <c r="F74" s="293">
        <v>9.17</v>
      </c>
    </row>
    <row r="75">
      <c r="A75" s="54" t="s">
        <v>170</v>
      </c>
      <c r="B75" s="293">
        <v>-159937.0</v>
      </c>
      <c r="C75" s="293">
        <v>82.46</v>
      </c>
      <c r="D75" s="293">
        <v>-4315325.0</v>
      </c>
      <c r="E75" s="293">
        <v>2167.0</v>
      </c>
      <c r="F75" s="293">
        <v>-4.98</v>
      </c>
    </row>
    <row r="76">
      <c r="A76" s="58" t="s">
        <v>189</v>
      </c>
      <c r="B76" s="293">
        <v>1697.0</v>
      </c>
      <c r="C76" s="293">
        <v>-0.0664</v>
      </c>
      <c r="D76" s="293">
        <v>-6210713.0</v>
      </c>
      <c r="E76" s="293">
        <v>3175.0</v>
      </c>
      <c r="F76" s="293">
        <v>-102.0</v>
      </c>
    </row>
    <row r="77">
      <c r="A77" s="58" t="s">
        <v>275</v>
      </c>
      <c r="B77" s="293">
        <v>-14311.0</v>
      </c>
      <c r="C77" s="293">
        <v>8.627</v>
      </c>
      <c r="D77" s="293">
        <v>-1.4981424E7</v>
      </c>
      <c r="E77" s="293">
        <v>7576.0</v>
      </c>
      <c r="F77" s="293">
        <v>-65.2</v>
      </c>
    </row>
    <row r="78">
      <c r="A78" s="54" t="s">
        <v>236</v>
      </c>
      <c r="B78" s="293">
        <v>-2512.0</v>
      </c>
      <c r="C78" s="293">
        <v>2.657</v>
      </c>
      <c r="D78" s="293">
        <v>-3749081.0</v>
      </c>
      <c r="E78" s="293">
        <v>1907.0</v>
      </c>
      <c r="F78" s="293">
        <v>-27.1</v>
      </c>
    </row>
    <row r="79">
      <c r="A79" s="54" t="s">
        <v>137</v>
      </c>
      <c r="B79" s="293">
        <v>1249.0</v>
      </c>
      <c r="C79" s="293">
        <v>1.39</v>
      </c>
      <c r="D79" s="293">
        <v>-7109529.0</v>
      </c>
      <c r="E79" s="293">
        <v>3603.0</v>
      </c>
      <c r="F79" s="293">
        <v>-24.0</v>
      </c>
    </row>
    <row r="80">
      <c r="A80" s="54" t="s">
        <v>97</v>
      </c>
      <c r="B80" s="293">
        <v>-28383.0</v>
      </c>
      <c r="C80" s="293">
        <v>16.6</v>
      </c>
      <c r="D80" s="293">
        <v>-1.7226044E7</v>
      </c>
      <c r="E80" s="293">
        <v>8722.0</v>
      </c>
      <c r="F80" s="293">
        <v>-51.3</v>
      </c>
    </row>
    <row r="81">
      <c r="A81" s="54" t="s">
        <v>322</v>
      </c>
      <c r="B81" s="293">
        <v>-16503.0</v>
      </c>
      <c r="C81" s="293">
        <v>12.2</v>
      </c>
      <c r="D81" s="293">
        <v>-5360087.0</v>
      </c>
      <c r="E81" s="293">
        <v>2667.2</v>
      </c>
      <c r="F81" s="293">
        <v>1.68</v>
      </c>
    </row>
    <row r="82">
      <c r="A82" s="58" t="s">
        <v>174</v>
      </c>
      <c r="B82" s="293">
        <v>5396.0</v>
      </c>
      <c r="C82" s="293">
        <v>-1.174</v>
      </c>
      <c r="D82" s="293">
        <v>-1.2683256E7</v>
      </c>
      <c r="E82" s="293">
        <v>6398.0</v>
      </c>
      <c r="F82" s="293">
        <v>-53.9</v>
      </c>
    </row>
    <row r="83">
      <c r="A83" s="58" t="s">
        <v>282</v>
      </c>
      <c r="B83" s="293">
        <v>1273.0</v>
      </c>
      <c r="C83" s="293">
        <v>1.067</v>
      </c>
      <c r="D83" s="293">
        <v>-1.2618379E7</v>
      </c>
      <c r="E83" s="293">
        <v>6542.0</v>
      </c>
      <c r="F83" s="293">
        <v>-151.0</v>
      </c>
    </row>
    <row r="84">
      <c r="A84" s="54" t="s">
        <v>142</v>
      </c>
      <c r="B84" s="293">
        <v>1042.0</v>
      </c>
      <c r="C84" s="293">
        <v>1.36</v>
      </c>
      <c r="D84" s="293">
        <v>-4558311.0</v>
      </c>
      <c r="E84" s="293">
        <v>2220.0</v>
      </c>
      <c r="F84" s="293">
        <v>32.5</v>
      </c>
    </row>
    <row r="85">
      <c r="A85" s="58" t="s">
        <v>177</v>
      </c>
      <c r="B85" s="293">
        <v>-7789.0</v>
      </c>
      <c r="C85" s="293">
        <v>5.982</v>
      </c>
      <c r="D85" s="293">
        <v>-6651802.0</v>
      </c>
      <c r="E85" s="293">
        <v>3539.0</v>
      </c>
      <c r="F85" s="293">
        <v>-105.5</v>
      </c>
    </row>
    <row r="86">
      <c r="A86" s="54" t="s">
        <v>238</v>
      </c>
      <c r="B86" s="293">
        <v>-2241.0</v>
      </c>
      <c r="C86" s="293">
        <v>2.153</v>
      </c>
      <c r="D86" s="293">
        <v>-6229520.0</v>
      </c>
      <c r="E86" s="293">
        <v>3172.0</v>
      </c>
      <c r="F86" s="293">
        <v>-68.1</v>
      </c>
    </row>
    <row r="87">
      <c r="A87" s="54" t="s">
        <v>139</v>
      </c>
      <c r="B87" s="293">
        <v>-11075.0</v>
      </c>
      <c r="C87" s="293">
        <v>9.07</v>
      </c>
      <c r="D87" s="293">
        <v>-8214035.0</v>
      </c>
      <c r="E87" s="293">
        <v>4053.7</v>
      </c>
      <c r="F87" s="293">
        <v>12.82</v>
      </c>
    </row>
    <row r="88">
      <c r="A88" s="54" t="s">
        <v>135</v>
      </c>
      <c r="B88" s="293">
        <v>-22192.0</v>
      </c>
      <c r="C88" s="293">
        <v>13.77</v>
      </c>
      <c r="D88" s="293">
        <v>-7117261.0</v>
      </c>
      <c r="E88" s="293">
        <v>3548.0</v>
      </c>
      <c r="F88" s="293">
        <v>-0.09</v>
      </c>
    </row>
    <row r="89">
      <c r="A89" s="58" t="s">
        <v>259</v>
      </c>
      <c r="B89" s="293">
        <v>-466.0</v>
      </c>
      <c r="C89" s="293">
        <v>1.355</v>
      </c>
      <c r="D89" s="293">
        <v>-1.0456557E7</v>
      </c>
      <c r="E89" s="293">
        <v>5011.0</v>
      </c>
      <c r="F89" s="293">
        <v>175.0</v>
      </c>
    </row>
    <row r="90">
      <c r="A90" s="54" t="s">
        <v>157</v>
      </c>
      <c r="B90" s="293">
        <v>-25924.0</v>
      </c>
      <c r="C90" s="293">
        <v>14.28</v>
      </c>
      <c r="D90" s="293">
        <v>-1.0001247E7</v>
      </c>
      <c r="E90" s="293">
        <v>5037.9</v>
      </c>
      <c r="F90" s="293">
        <v>-31.77</v>
      </c>
    </row>
    <row r="91">
      <c r="A91" s="58" t="s">
        <v>162</v>
      </c>
      <c r="B91" s="293">
        <v>919.7</v>
      </c>
      <c r="C91" s="293">
        <v>0.2409</v>
      </c>
      <c r="D91" s="293">
        <v>-4552011.0</v>
      </c>
      <c r="E91" s="293">
        <v>2524.0</v>
      </c>
      <c r="F91" s="293">
        <v>-362.0</v>
      </c>
    </row>
    <row r="92">
      <c r="A92" s="58" t="s">
        <v>219</v>
      </c>
      <c r="B92" s="293">
        <v>4426.0</v>
      </c>
      <c r="C92" s="293">
        <v>0.89</v>
      </c>
      <c r="D92" s="293">
        <v>-5268673.0</v>
      </c>
      <c r="E92" s="293">
        <v>2630.0</v>
      </c>
      <c r="F92" s="293">
        <v>1.99</v>
      </c>
    </row>
    <row r="93">
      <c r="A93" s="54" t="s">
        <v>153</v>
      </c>
      <c r="B93" s="293">
        <v>8351.0</v>
      </c>
      <c r="C93" s="293">
        <v>-3.059</v>
      </c>
      <c r="D93" s="293">
        <v>-1.6062816E7</v>
      </c>
      <c r="E93" s="293">
        <v>7956.0</v>
      </c>
      <c r="F93" s="293">
        <v>34.0</v>
      </c>
    </row>
    <row r="94">
      <c r="A94" s="54" t="s">
        <v>234</v>
      </c>
      <c r="B94" s="293">
        <v>-105212.0</v>
      </c>
      <c r="C94" s="293">
        <v>55.21</v>
      </c>
      <c r="D94" s="293">
        <v>-2650088.0</v>
      </c>
      <c r="E94" s="293">
        <v>1312.0</v>
      </c>
      <c r="F94" s="293">
        <v>6.337</v>
      </c>
    </row>
    <row r="95">
      <c r="A95" s="54" t="s">
        <v>55</v>
      </c>
      <c r="B95" s="293">
        <v>-4224.0</v>
      </c>
      <c r="C95" s="293">
        <v>3.762</v>
      </c>
      <c r="D95" s="293">
        <v>-1.5278437E7</v>
      </c>
      <c r="E95" s="293">
        <v>7842.0</v>
      </c>
      <c r="F95" s="293">
        <v>-131.6</v>
      </c>
    </row>
    <row r="96">
      <c r="A96" s="54" t="s">
        <v>144</v>
      </c>
      <c r="B96" s="293">
        <v>-15337.0</v>
      </c>
      <c r="C96" s="293">
        <v>8.963</v>
      </c>
      <c r="D96" s="293">
        <v>-1.394997E7</v>
      </c>
      <c r="E96" s="293">
        <v>7025.0</v>
      </c>
      <c r="F96" s="293">
        <v>-54.6</v>
      </c>
    </row>
    <row r="97">
      <c r="A97" s="54" t="s">
        <v>313</v>
      </c>
      <c r="B97" s="293">
        <v>-43811.0</v>
      </c>
      <c r="C97" s="293">
        <v>23.22</v>
      </c>
      <c r="D97" s="293">
        <v>-7047086.0</v>
      </c>
      <c r="E97" s="293">
        <v>3510.0</v>
      </c>
      <c r="F97" s="293">
        <v>1.4</v>
      </c>
    </row>
    <row r="98">
      <c r="A98" s="58" t="s">
        <v>164</v>
      </c>
      <c r="B98" s="293">
        <v>1033.0</v>
      </c>
      <c r="C98" s="293">
        <v>0.301</v>
      </c>
      <c r="D98" s="293">
        <v>-6000104.0</v>
      </c>
      <c r="E98" s="293">
        <v>2999.0</v>
      </c>
      <c r="F98" s="293">
        <v>-9.3</v>
      </c>
    </row>
    <row r="99">
      <c r="A99" s="54" t="s">
        <v>365</v>
      </c>
      <c r="B99" s="293">
        <v>-196213.0</v>
      </c>
      <c r="C99" s="293">
        <v>99.13</v>
      </c>
      <c r="D99" s="293">
        <v>-454582.0</v>
      </c>
      <c r="E99" s="293">
        <v>228.0</v>
      </c>
      <c r="F99" s="293">
        <v>2.66</v>
      </c>
    </row>
    <row r="100">
      <c r="A100" s="54" t="s">
        <v>335</v>
      </c>
      <c r="B100" s="293">
        <v>-60455.0</v>
      </c>
      <c r="C100" s="293">
        <v>31.37</v>
      </c>
      <c r="D100" s="293">
        <v>-6406185.0</v>
      </c>
      <c r="E100" s="293">
        <v>3216.0</v>
      </c>
      <c r="F100" s="293">
        <v>-20.05</v>
      </c>
    </row>
    <row r="101">
      <c r="A101" s="54" t="s">
        <v>288</v>
      </c>
      <c r="B101" s="293">
        <v>-563287.0</v>
      </c>
      <c r="C101" s="293">
        <v>284.6</v>
      </c>
      <c r="D101" s="293">
        <v>-8413495.0</v>
      </c>
      <c r="E101" s="293">
        <v>4202.2</v>
      </c>
      <c r="F101" s="293">
        <v>0.2683</v>
      </c>
    </row>
    <row r="102">
      <c r="A102" s="54" t="s">
        <v>138</v>
      </c>
      <c r="B102" s="293">
        <v>-554.0</v>
      </c>
      <c r="C102" s="293">
        <v>1.798</v>
      </c>
      <c r="D102" s="293">
        <v>-2678854.0</v>
      </c>
      <c r="E102" s="293">
        <v>1252.0</v>
      </c>
      <c r="F102" s="293">
        <v>62.1</v>
      </c>
    </row>
    <row r="103">
      <c r="A103" s="54" t="s">
        <v>311</v>
      </c>
      <c r="B103" s="293">
        <v>-267.0</v>
      </c>
      <c r="C103" s="293">
        <v>2.455</v>
      </c>
      <c r="D103" s="293">
        <v>-7116275.0</v>
      </c>
      <c r="E103" s="293">
        <v>3622.0</v>
      </c>
      <c r="F103" s="293">
        <v>-32.3</v>
      </c>
    </row>
    <row r="104">
      <c r="A104" s="58" t="s">
        <v>258</v>
      </c>
      <c r="B104" s="293">
        <v>-499093.0</v>
      </c>
      <c r="C104" s="293">
        <v>253.7</v>
      </c>
      <c r="D104" s="293">
        <v>-5847917.0</v>
      </c>
      <c r="E104" s="293">
        <v>2892.0</v>
      </c>
      <c r="F104" s="293">
        <v>5.04</v>
      </c>
    </row>
    <row r="105">
      <c r="A105" s="58" t="s">
        <v>257</v>
      </c>
      <c r="B105" s="293">
        <v>-148408.0</v>
      </c>
      <c r="C105" s="293">
        <v>77.56</v>
      </c>
      <c r="D105" s="293">
        <v>-1.6748998E7</v>
      </c>
      <c r="E105" s="293">
        <v>8373.0</v>
      </c>
      <c r="F105" s="293">
        <v>-6.6</v>
      </c>
    </row>
    <row r="106">
      <c r="A106" s="54" t="s">
        <v>38</v>
      </c>
      <c r="B106" s="293">
        <v>-1337.0</v>
      </c>
      <c r="C106" s="293">
        <v>1.588</v>
      </c>
      <c r="D106" s="293">
        <v>-1.0731468E7</v>
      </c>
      <c r="E106" s="293">
        <v>5742.0</v>
      </c>
      <c r="F106" s="293">
        <v>-422.0</v>
      </c>
    </row>
    <row r="107">
      <c r="A107" s="54" t="s">
        <v>150</v>
      </c>
      <c r="B107" s="293">
        <v>6740.0</v>
      </c>
      <c r="C107" s="293">
        <v>-1.725</v>
      </c>
      <c r="D107" s="293">
        <v>-1.3135721E7</v>
      </c>
      <c r="E107" s="293">
        <v>6573.0</v>
      </c>
      <c r="F107" s="293">
        <v>-16.5</v>
      </c>
    </row>
    <row r="108">
      <c r="A108" s="58" t="s">
        <v>187</v>
      </c>
      <c r="B108" s="293">
        <v>-33526.0</v>
      </c>
      <c r="C108" s="293">
        <v>17.88</v>
      </c>
      <c r="D108" s="293">
        <v>-960917.0</v>
      </c>
      <c r="E108" s="293">
        <v>485.0</v>
      </c>
      <c r="F108" s="293">
        <v>14.94</v>
      </c>
    </row>
    <row r="109">
      <c r="A109" s="58" t="s">
        <v>200</v>
      </c>
      <c r="B109" s="293">
        <v>3251.0</v>
      </c>
      <c r="C109" s="293">
        <v>0.152</v>
      </c>
      <c r="D109" s="293">
        <v>-7827931.0</v>
      </c>
      <c r="E109" s="293">
        <v>4016.0</v>
      </c>
      <c r="F109" s="293">
        <v>-62.0</v>
      </c>
    </row>
    <row r="110">
      <c r="A110" s="54" t="s">
        <v>290</v>
      </c>
      <c r="B110" s="293">
        <v>-7811.0</v>
      </c>
      <c r="C110" s="293">
        <v>6.033</v>
      </c>
      <c r="D110" s="293">
        <v>-1.0749322E7</v>
      </c>
      <c r="E110" s="293">
        <v>5338.0</v>
      </c>
      <c r="F110" s="293">
        <v>7.5</v>
      </c>
    </row>
    <row r="111">
      <c r="A111" s="58" t="s">
        <v>324</v>
      </c>
      <c r="B111" s="293">
        <v>-62378.0</v>
      </c>
      <c r="C111" s="293">
        <v>33.3</v>
      </c>
      <c r="D111" s="293">
        <v>-6177054.0</v>
      </c>
      <c r="E111" s="293">
        <v>3083.7</v>
      </c>
      <c r="F111" s="293">
        <v>-3.17</v>
      </c>
    </row>
    <row r="112">
      <c r="A112" s="54" t="s">
        <v>293</v>
      </c>
      <c r="B112" s="293">
        <v>6922.0</v>
      </c>
      <c r="C112" s="293">
        <v>-1.49</v>
      </c>
      <c r="D112" s="293">
        <v>-6663540.0</v>
      </c>
      <c r="E112" s="293">
        <v>3345.0</v>
      </c>
      <c r="F112" s="293">
        <v>-7.0</v>
      </c>
    </row>
    <row r="113">
      <c r="A113" s="58" t="s">
        <v>272</v>
      </c>
      <c r="B113" s="293">
        <v>-17081.0</v>
      </c>
      <c r="C113" s="293">
        <v>10.48</v>
      </c>
      <c r="D113" s="293">
        <v>-2.4588435E7</v>
      </c>
      <c r="E113" s="293">
        <v>12266.0</v>
      </c>
      <c r="F113" s="293">
        <v>-10.7</v>
      </c>
    </row>
    <row r="114">
      <c r="A114" s="58" t="s">
        <v>184</v>
      </c>
      <c r="B114" s="293">
        <v>-13895.0</v>
      </c>
      <c r="C114" s="293">
        <v>9.71</v>
      </c>
      <c r="D114" s="293">
        <v>-3751887.0</v>
      </c>
      <c r="E114" s="293">
        <v>1872.7</v>
      </c>
      <c r="F114" s="293">
        <v>2.93</v>
      </c>
    </row>
    <row r="115">
      <c r="A115" s="54" t="s">
        <v>43</v>
      </c>
      <c r="B115" s="293">
        <v>-110738.0</v>
      </c>
      <c r="C115" s="293">
        <v>57.26</v>
      </c>
      <c r="D115" s="293">
        <v>-1.1521638E7</v>
      </c>
      <c r="E115" s="293">
        <v>5776.0</v>
      </c>
      <c r="F115" s="293">
        <v>-4.57</v>
      </c>
    </row>
    <row r="116">
      <c r="A116" s="58" t="s">
        <v>263</v>
      </c>
      <c r="B116" s="293">
        <v>1942.0</v>
      </c>
      <c r="C116" s="293">
        <v>0.595</v>
      </c>
      <c r="D116" s="293">
        <v>-4666202.0</v>
      </c>
      <c r="E116" s="293">
        <v>2324.0</v>
      </c>
      <c r="F116" s="293">
        <v>9.0</v>
      </c>
    </row>
    <row r="117">
      <c r="A117" s="54" t="s">
        <v>265</v>
      </c>
      <c r="B117" s="293">
        <v>-434488.0</v>
      </c>
      <c r="C117" s="293">
        <v>219.8</v>
      </c>
      <c r="D117" s="293">
        <v>-1.7640973E7</v>
      </c>
      <c r="E117" s="293">
        <v>8781.0</v>
      </c>
      <c r="F117" s="293">
        <v>3.15</v>
      </c>
    </row>
    <row r="118">
      <c r="A118" s="58" t="s">
        <v>58</v>
      </c>
      <c r="B118" s="293">
        <v>26501.0</v>
      </c>
      <c r="C118" s="293">
        <v>-11.5</v>
      </c>
      <c r="D118" s="293">
        <v>-1.4098648E7</v>
      </c>
      <c r="E118" s="293">
        <v>6978.0</v>
      </c>
      <c r="F118" s="293">
        <v>31.0</v>
      </c>
    </row>
    <row r="119">
      <c r="A119" s="58" t="s">
        <v>276</v>
      </c>
      <c r="B119" s="293">
        <v>-88850.0</v>
      </c>
      <c r="C119" s="293">
        <v>47.45</v>
      </c>
      <c r="D119" s="293">
        <v>-1.3298573E7</v>
      </c>
      <c r="E119" s="293">
        <v>6629.3</v>
      </c>
      <c r="F119" s="293">
        <v>2.78</v>
      </c>
    </row>
    <row r="120">
      <c r="A120" s="58" t="s">
        <v>354</v>
      </c>
      <c r="B120" s="293">
        <v>-13606.0</v>
      </c>
      <c r="C120" s="293">
        <v>8.878</v>
      </c>
      <c r="D120" s="293">
        <v>-2503133.0</v>
      </c>
      <c r="E120" s="293">
        <v>1214.0</v>
      </c>
      <c r="F120" s="293">
        <v>18.3</v>
      </c>
    </row>
    <row r="121">
      <c r="A121" s="58" t="s">
        <v>329</v>
      </c>
      <c r="B121" s="293">
        <v>-12721.0</v>
      </c>
      <c r="C121" s="293">
        <v>8.63</v>
      </c>
      <c r="D121" s="293">
        <v>-4736922.0</v>
      </c>
      <c r="E121" s="293">
        <v>2346.1</v>
      </c>
      <c r="F121" s="293">
        <v>7.791</v>
      </c>
    </row>
    <row r="122">
      <c r="A122" s="54" t="s">
        <v>278</v>
      </c>
      <c r="B122" s="293">
        <v>-1088208.0</v>
      </c>
      <c r="C122" s="293">
        <v>560.5</v>
      </c>
      <c r="D122" s="293">
        <v>-1.4373779E7</v>
      </c>
      <c r="E122" s="293">
        <v>7186.0</v>
      </c>
      <c r="F122" s="293">
        <v>-1.127</v>
      </c>
    </row>
    <row r="123">
      <c r="A123" s="54" t="s">
        <v>363</v>
      </c>
      <c r="B123" s="293">
        <v>-123525.0</v>
      </c>
      <c r="C123" s="293">
        <v>63.41</v>
      </c>
      <c r="D123" s="293">
        <v>-986512.0</v>
      </c>
      <c r="E123" s="293">
        <v>497.0</v>
      </c>
      <c r="F123" s="294">
        <v>-0.07</v>
      </c>
    </row>
    <row r="124">
      <c r="A124" s="58" t="s">
        <v>246</v>
      </c>
      <c r="B124" s="293">
        <v>-359129.0</v>
      </c>
      <c r="C124" s="293">
        <v>187.4</v>
      </c>
      <c r="D124" s="293">
        <v>-4537200.0</v>
      </c>
      <c r="E124" s="293">
        <v>2212.0</v>
      </c>
      <c r="F124" s="293">
        <v>6.21</v>
      </c>
    </row>
    <row r="125">
      <c r="A125" s="58" t="s">
        <v>98</v>
      </c>
      <c r="B125" s="293">
        <v>-20672.0</v>
      </c>
      <c r="C125" s="293">
        <v>13.87</v>
      </c>
      <c r="D125" s="293">
        <v>-5847089.0</v>
      </c>
      <c r="E125" s="293">
        <v>3014.0</v>
      </c>
      <c r="F125" s="293">
        <v>-25.7</v>
      </c>
    </row>
    <row r="126">
      <c r="A126" s="54" t="s">
        <v>249</v>
      </c>
      <c r="B126" s="293">
        <v>-5621.0</v>
      </c>
      <c r="C126" s="293">
        <v>4.294</v>
      </c>
      <c r="D126" s="293">
        <v>-4712659.0</v>
      </c>
      <c r="E126" s="293">
        <v>2383.4</v>
      </c>
      <c r="F126" s="293">
        <v>-21.52</v>
      </c>
    </row>
    <row r="127">
      <c r="A127" s="54" t="s">
        <v>287</v>
      </c>
      <c r="B127" s="293">
        <v>-10558.0</v>
      </c>
      <c r="C127" s="293">
        <v>7.13</v>
      </c>
      <c r="D127" s="293">
        <v>-1.1665733E7</v>
      </c>
      <c r="E127" s="293">
        <v>5869.0</v>
      </c>
      <c r="F127" s="293">
        <v>-31.0</v>
      </c>
    </row>
    <row r="128">
      <c r="A128" s="54" t="s">
        <v>247</v>
      </c>
      <c r="B128" s="293">
        <v>-88456.0</v>
      </c>
      <c r="C128" s="293">
        <v>48.15</v>
      </c>
      <c r="D128" s="293">
        <v>-2844561.0</v>
      </c>
      <c r="E128" s="293">
        <v>1403.0</v>
      </c>
      <c r="F128" s="293">
        <v>5.92</v>
      </c>
    </row>
    <row r="129">
      <c r="A129" s="54" t="s">
        <v>291</v>
      </c>
      <c r="B129" s="293">
        <v>-58520.0</v>
      </c>
      <c r="C129" s="293">
        <v>31.43</v>
      </c>
      <c r="D129" s="293">
        <v>-1.0083461E7</v>
      </c>
      <c r="E129" s="293">
        <v>5039.0</v>
      </c>
      <c r="F129" s="293">
        <v>-5.9</v>
      </c>
    </row>
    <row r="130">
      <c r="A130" s="54" t="s">
        <v>237</v>
      </c>
      <c r="B130" s="293">
        <v>-24381.0</v>
      </c>
      <c r="C130" s="293">
        <v>15.38</v>
      </c>
      <c r="D130" s="293">
        <v>-7449439.0</v>
      </c>
      <c r="E130" s="293">
        <v>3751.0</v>
      </c>
      <c r="F130" s="293">
        <v>-13.39</v>
      </c>
    </row>
    <row r="131">
      <c r="A131" s="54" t="s">
        <v>228</v>
      </c>
      <c r="B131" s="293">
        <v>-14335.0</v>
      </c>
      <c r="C131" s="293">
        <v>10.24</v>
      </c>
      <c r="D131" s="293">
        <v>-1.250077E7</v>
      </c>
      <c r="E131" s="293">
        <v>6258.0</v>
      </c>
      <c r="F131" s="293">
        <v>-9.4</v>
      </c>
    </row>
    <row r="132">
      <c r="A132" s="54" t="s">
        <v>231</v>
      </c>
      <c r="B132" s="293">
        <v>-11814.0</v>
      </c>
      <c r="C132" s="293">
        <v>9.11</v>
      </c>
      <c r="D132" s="293">
        <v>-5388329.0</v>
      </c>
      <c r="E132" s="293">
        <v>2821.0</v>
      </c>
      <c r="F132" s="293">
        <v>-39.2</v>
      </c>
    </row>
    <row r="133">
      <c r="A133" s="58" t="s">
        <v>215</v>
      </c>
      <c r="B133" s="293">
        <v>-5161.0</v>
      </c>
      <c r="C133" s="293">
        <v>4.79</v>
      </c>
      <c r="D133" s="293">
        <v>-4120939.0</v>
      </c>
      <c r="E133" s="293">
        <v>2057.4</v>
      </c>
      <c r="F133" s="293">
        <v>-1.163</v>
      </c>
    </row>
    <row r="134">
      <c r="A134" s="54" t="s">
        <v>119</v>
      </c>
      <c r="B134" s="293">
        <v>-607374.0</v>
      </c>
      <c r="C134" s="293">
        <v>311.6</v>
      </c>
      <c r="D134" s="293">
        <v>-4910774.0</v>
      </c>
      <c r="E134" s="293">
        <v>2459.0</v>
      </c>
      <c r="F134" s="293">
        <v>-0.97</v>
      </c>
    </row>
    <row r="135">
      <c r="A135" s="54" t="s">
        <v>353</v>
      </c>
      <c r="B135" s="293">
        <v>-3922775.0</v>
      </c>
      <c r="C135" s="293">
        <v>1968.0</v>
      </c>
      <c r="D135" s="293">
        <v>-7597431.0</v>
      </c>
      <c r="E135" s="293">
        <v>3797.0</v>
      </c>
      <c r="F135" s="293">
        <v>-0.808</v>
      </c>
    </row>
    <row r="136">
      <c r="A136" s="54" t="s">
        <v>116</v>
      </c>
      <c r="B136" s="293">
        <v>-151104.0</v>
      </c>
      <c r="C136" s="293">
        <v>81.43</v>
      </c>
      <c r="D136" s="293">
        <v>-7364447.0</v>
      </c>
      <c r="E136" s="293">
        <v>3684.0</v>
      </c>
      <c r="F136" s="293">
        <v>-2.62</v>
      </c>
    </row>
    <row r="137">
      <c r="A137" s="54" t="s">
        <v>343</v>
      </c>
      <c r="B137" s="293">
        <v>-66248.0</v>
      </c>
      <c r="C137" s="293">
        <v>36.71</v>
      </c>
      <c r="D137" s="293">
        <v>-3589746.0</v>
      </c>
      <c r="E137" s="293">
        <v>1780.0</v>
      </c>
      <c r="F137" s="293">
        <v>3.13</v>
      </c>
    </row>
    <row r="138">
      <c r="A138" s="54" t="s">
        <v>210</v>
      </c>
      <c r="B138" s="293">
        <v>-56648.0</v>
      </c>
      <c r="C138" s="293">
        <v>32.4</v>
      </c>
      <c r="D138" s="293">
        <v>-1.1798977E7</v>
      </c>
      <c r="E138" s="293">
        <v>5961.0</v>
      </c>
      <c r="F138" s="293">
        <v>-17.8</v>
      </c>
    </row>
    <row r="139">
      <c r="A139" s="54" t="s">
        <v>216</v>
      </c>
      <c r="B139" s="293">
        <v>-55877.0</v>
      </c>
      <c r="C139" s="293">
        <v>31.47</v>
      </c>
      <c r="D139" s="293">
        <v>-1.0286146E7</v>
      </c>
      <c r="E139" s="293">
        <v>5000.0</v>
      </c>
      <c r="F139" s="293">
        <v>35.17</v>
      </c>
    </row>
    <row r="140">
      <c r="A140" s="54" t="s">
        <v>312</v>
      </c>
      <c r="B140" s="293">
        <v>-723.0</v>
      </c>
      <c r="C140" s="293">
        <v>1.835</v>
      </c>
      <c r="D140" s="293">
        <v>-5859286.0</v>
      </c>
      <c r="E140" s="293">
        <v>2984.0</v>
      </c>
      <c r="F140" s="293">
        <v>-39.5</v>
      </c>
    </row>
    <row r="141">
      <c r="A141" s="54" t="s">
        <v>117</v>
      </c>
      <c r="B141" s="293">
        <v>-49264.0</v>
      </c>
      <c r="C141" s="293">
        <v>28.94</v>
      </c>
      <c r="D141" s="293">
        <v>-4161620.0</v>
      </c>
      <c r="E141" s="293">
        <v>2073.9</v>
      </c>
      <c r="F141" s="293">
        <v>-0.106</v>
      </c>
    </row>
    <row r="142">
      <c r="A142" s="54" t="s">
        <v>122</v>
      </c>
      <c r="B142" s="293">
        <v>-158704.0</v>
      </c>
      <c r="C142" s="293">
        <v>91.6</v>
      </c>
      <c r="D142" s="293">
        <v>-1.5698062E7</v>
      </c>
      <c r="E142" s="293">
        <v>7815.0</v>
      </c>
      <c r="F142" s="293">
        <v>0.82</v>
      </c>
    </row>
    <row r="143">
      <c r="A143" s="54" t="s">
        <v>218</v>
      </c>
      <c r="B143" s="293">
        <v>-89627.0</v>
      </c>
      <c r="C143" s="293">
        <v>47.11</v>
      </c>
      <c r="D143" s="293">
        <v>-5691225.0</v>
      </c>
      <c r="E143" s="293">
        <v>2824.0</v>
      </c>
      <c r="F143" s="293">
        <v>8.7</v>
      </c>
    </row>
    <row r="144">
      <c r="A144" s="54" t="s">
        <v>320</v>
      </c>
      <c r="B144" s="293">
        <v>-5695.0</v>
      </c>
      <c r="C144" s="293">
        <v>5.029</v>
      </c>
      <c r="D144" s="293">
        <v>-6836780.0</v>
      </c>
      <c r="E144" s="293">
        <v>3811.0</v>
      </c>
      <c r="F144" s="293">
        <v>-183.4</v>
      </c>
    </row>
    <row r="145">
      <c r="A145" s="58" t="s">
        <v>253</v>
      </c>
      <c r="B145" s="293">
        <v>-240344.0</v>
      </c>
      <c r="C145" s="293">
        <v>122.6</v>
      </c>
      <c r="D145" s="293">
        <v>-3478650.0</v>
      </c>
      <c r="E145" s="293">
        <v>1736.0</v>
      </c>
      <c r="F145" s="293">
        <v>4.98</v>
      </c>
    </row>
    <row r="146">
      <c r="A146" s="54" t="s">
        <v>217</v>
      </c>
      <c r="B146" s="293">
        <v>-244547.0</v>
      </c>
      <c r="C146" s="293">
        <v>127.5</v>
      </c>
      <c r="D146" s="293">
        <v>-1.5595173E7</v>
      </c>
      <c r="E146" s="293">
        <v>7798.0</v>
      </c>
      <c r="F146" s="293">
        <v>-2.97</v>
      </c>
    </row>
    <row r="147">
      <c r="A147" s="58" t="s">
        <v>211</v>
      </c>
      <c r="B147" s="293">
        <v>-92572.0</v>
      </c>
      <c r="C147" s="293">
        <v>48.28</v>
      </c>
      <c r="D147" s="293">
        <v>-9357541.0</v>
      </c>
      <c r="E147" s="293">
        <v>4684.0</v>
      </c>
      <c r="F147" s="293">
        <v>-6.42</v>
      </c>
    </row>
    <row r="148">
      <c r="A148" s="54" t="s">
        <v>213</v>
      </c>
      <c r="B148" s="293">
        <v>-7677.0</v>
      </c>
      <c r="C148" s="293">
        <v>6.309</v>
      </c>
      <c r="D148" s="293">
        <v>-2.3222524E7</v>
      </c>
      <c r="E148" s="293">
        <v>10932.0</v>
      </c>
      <c r="F148" s="293">
        <v>250.2</v>
      </c>
    </row>
    <row r="149">
      <c r="A149" s="54" t="s">
        <v>123</v>
      </c>
      <c r="B149" s="293">
        <v>-170511.0</v>
      </c>
      <c r="C149" s="293">
        <v>91.29</v>
      </c>
      <c r="D149" s="293">
        <v>-6076909.0</v>
      </c>
      <c r="E149" s="293">
        <v>3024.3</v>
      </c>
      <c r="F149" s="293">
        <v>0.239</v>
      </c>
    </row>
    <row r="150">
      <c r="A150" s="54" t="s">
        <v>125</v>
      </c>
      <c r="B150" s="293">
        <v>-1441341.0</v>
      </c>
      <c r="C150" s="293">
        <v>731.1</v>
      </c>
      <c r="D150" s="293">
        <v>-4848148.0</v>
      </c>
      <c r="E150" s="293">
        <v>2415.8</v>
      </c>
      <c r="F150" s="293">
        <v>-0.0985</v>
      </c>
    </row>
    <row r="151">
      <c r="A151" s="54" t="s">
        <v>294</v>
      </c>
      <c r="B151" s="293">
        <v>-84529.0</v>
      </c>
      <c r="C151" s="293">
        <v>45.13</v>
      </c>
      <c r="D151" s="293">
        <v>-7209243.0</v>
      </c>
      <c r="E151" s="293">
        <v>3604.0</v>
      </c>
      <c r="F151" s="293">
        <v>-1.31</v>
      </c>
    </row>
    <row r="152">
      <c r="A152" s="54" t="s">
        <v>104</v>
      </c>
      <c r="B152" s="293">
        <v>-95168.0</v>
      </c>
      <c r="C152" s="293">
        <v>48.64</v>
      </c>
      <c r="D152" s="293">
        <v>-6842607.0</v>
      </c>
      <c r="E152" s="293">
        <v>3434.0</v>
      </c>
      <c r="F152" s="293">
        <v>-11.4</v>
      </c>
    </row>
    <row r="153">
      <c r="A153" s="54" t="s">
        <v>232</v>
      </c>
      <c r="B153" s="293">
        <v>-4065.0</v>
      </c>
      <c r="C153" s="293">
        <v>3.744</v>
      </c>
      <c r="D153" s="293">
        <v>-3914825.0</v>
      </c>
      <c r="E153" s="293">
        <v>2030.0</v>
      </c>
      <c r="F153" s="293">
        <v>-41.2</v>
      </c>
    </row>
    <row r="154">
      <c r="A154" s="54" t="s">
        <v>59</v>
      </c>
      <c r="B154" s="293">
        <v>-741694.0</v>
      </c>
      <c r="C154" s="293">
        <v>379.6</v>
      </c>
      <c r="D154" s="293">
        <v>-5407046.0</v>
      </c>
      <c r="E154" s="293">
        <v>2697.0</v>
      </c>
      <c r="F154" s="293">
        <v>-0.02</v>
      </c>
    </row>
    <row r="155">
      <c r="A155" s="54" t="s">
        <v>66</v>
      </c>
      <c r="B155" s="293">
        <v>-3098556.0</v>
      </c>
      <c r="C155" s="293">
        <v>1551.0</v>
      </c>
      <c r="D155" s="293">
        <v>1251722.0</v>
      </c>
      <c r="E155" s="293">
        <v>-634.0</v>
      </c>
      <c r="F155" s="293">
        <v>1.848</v>
      </c>
    </row>
    <row r="156">
      <c r="A156" s="54" t="s">
        <v>57</v>
      </c>
      <c r="B156" s="293">
        <v>-3270871.0</v>
      </c>
      <c r="C156" s="293">
        <v>1643.0</v>
      </c>
      <c r="D156" s="293">
        <v>-3975909.0</v>
      </c>
      <c r="E156" s="293">
        <v>1974.0</v>
      </c>
      <c r="F156" s="293">
        <v>0.686</v>
      </c>
    </row>
    <row r="157">
      <c r="A157" s="54" t="s">
        <v>347</v>
      </c>
      <c r="B157" s="293">
        <v>-2049425.0</v>
      </c>
      <c r="C157" s="293">
        <v>1030.0</v>
      </c>
      <c r="D157" s="293">
        <v>-3899522.0</v>
      </c>
      <c r="E157" s="293">
        <v>1944.0</v>
      </c>
      <c r="F157" s="293">
        <v>0.105</v>
      </c>
    </row>
    <row r="158">
      <c r="A158" s="54" t="s">
        <v>72</v>
      </c>
      <c r="B158" s="293">
        <v>-3562081.0</v>
      </c>
      <c r="C158" s="293">
        <v>1802.0</v>
      </c>
      <c r="D158" s="293">
        <v>-2077371.0</v>
      </c>
      <c r="E158" s="293">
        <v>1037.0</v>
      </c>
      <c r="F158" s="293">
        <v>-0.051</v>
      </c>
    </row>
    <row r="159">
      <c r="A159" s="54" t="s">
        <v>299</v>
      </c>
      <c r="B159" s="293">
        <v>-1170022.0</v>
      </c>
      <c r="C159" s="293">
        <v>601.0</v>
      </c>
      <c r="D159" s="293">
        <v>-7795684.0</v>
      </c>
      <c r="E159" s="293">
        <v>3881.0</v>
      </c>
      <c r="F159" s="293">
        <v>0.14</v>
      </c>
    </row>
    <row r="160">
      <c r="A160" s="54" t="s">
        <v>52</v>
      </c>
      <c r="B160" s="293">
        <v>-1301649.0</v>
      </c>
      <c r="C160" s="293">
        <v>653.4</v>
      </c>
      <c r="D160" s="293">
        <v>-1.8092862E7</v>
      </c>
      <c r="E160" s="293">
        <v>9031.0</v>
      </c>
      <c r="F160" s="294">
        <v>-2.86</v>
      </c>
    </row>
    <row r="161">
      <c r="A161" s="54" t="s">
        <v>289</v>
      </c>
      <c r="B161" s="293">
        <v>-103381.0</v>
      </c>
      <c r="C161" s="293">
        <v>54.42</v>
      </c>
      <c r="D161" s="293">
        <v>-6893297.0</v>
      </c>
      <c r="E161" s="293">
        <v>3417.0</v>
      </c>
      <c r="F161" s="293">
        <v>10.34</v>
      </c>
    </row>
    <row r="162">
      <c r="A162" s="54" t="s">
        <v>70</v>
      </c>
      <c r="B162" s="293">
        <v>-328646.0</v>
      </c>
      <c r="C162" s="293">
        <v>168.3</v>
      </c>
      <c r="D162" s="293">
        <v>-2593300.0</v>
      </c>
      <c r="E162" s="293">
        <v>1228.0</v>
      </c>
      <c r="F162" s="293">
        <v>14.3</v>
      </c>
    </row>
    <row r="163">
      <c r="A163" s="54" t="s">
        <v>68</v>
      </c>
      <c r="B163" s="293">
        <v>-8704362.0</v>
      </c>
      <c r="C163" s="293">
        <v>4336.0</v>
      </c>
      <c r="D163" s="293">
        <v>-7611767.0</v>
      </c>
      <c r="E163" s="293">
        <v>3790.0</v>
      </c>
      <c r="F163" s="293">
        <v>-0.033</v>
      </c>
    </row>
    <row r="164">
      <c r="A164" s="54" t="s">
        <v>318</v>
      </c>
      <c r="B164" s="293">
        <v>-1.25428E7</v>
      </c>
      <c r="C164" s="293">
        <v>6247.0</v>
      </c>
      <c r="D164" s="293">
        <v>-6176555.0</v>
      </c>
      <c r="E164" s="293">
        <v>3078.0</v>
      </c>
      <c r="F164" s="293">
        <v>0.0285</v>
      </c>
    </row>
    <row r="165">
      <c r="A165" s="54" t="s">
        <v>314</v>
      </c>
      <c r="B165" s="293">
        <v>-1221125.0</v>
      </c>
      <c r="C165" s="293">
        <v>620.0</v>
      </c>
      <c r="D165" s="293">
        <v>-7360702.0</v>
      </c>
      <c r="E165" s="293">
        <v>3675.0</v>
      </c>
      <c r="F165" s="293">
        <v>-0.545</v>
      </c>
    </row>
    <row r="166">
      <c r="A166" s="54" t="s">
        <v>22</v>
      </c>
      <c r="B166" s="293">
        <v>-1282044.0</v>
      </c>
      <c r="C166" s="293">
        <v>643.4</v>
      </c>
      <c r="D166" s="293">
        <v>-5142624.0</v>
      </c>
      <c r="E166" s="293">
        <v>2565.0</v>
      </c>
      <c r="F166" s="293">
        <v>-0.246</v>
      </c>
    </row>
    <row r="167">
      <c r="A167" s="54" t="s">
        <v>333</v>
      </c>
      <c r="B167" s="293">
        <v>-244910.0</v>
      </c>
      <c r="C167" s="293">
        <v>124.9</v>
      </c>
      <c r="D167" s="293">
        <v>-4813225.0</v>
      </c>
      <c r="E167" s="293">
        <v>2406.0</v>
      </c>
      <c r="F167" s="293">
        <v>-1.29</v>
      </c>
    </row>
    <row r="168">
      <c r="A168" s="54" t="s">
        <v>26</v>
      </c>
      <c r="B168" s="293">
        <v>-2006424.0</v>
      </c>
      <c r="C168" s="293">
        <v>1012.0</v>
      </c>
      <c r="D168" s="293">
        <v>-1.0947697E7</v>
      </c>
      <c r="E168" s="293">
        <v>5479.0</v>
      </c>
      <c r="F168" s="293">
        <v>-1.67</v>
      </c>
    </row>
    <row r="169">
      <c r="A169" s="54" t="s">
        <v>110</v>
      </c>
      <c r="B169" s="293">
        <v>-2133594.0</v>
      </c>
      <c r="C169" s="293">
        <v>1070.0</v>
      </c>
      <c r="D169" s="293">
        <v>-7771869.0</v>
      </c>
      <c r="E169" s="293">
        <v>3882.0</v>
      </c>
      <c r="F169" s="293">
        <v>-0.71</v>
      </c>
    </row>
    <row r="170">
      <c r="A170" s="58" t="s">
        <v>126</v>
      </c>
      <c r="B170" s="293">
        <v>-2902736.0</v>
      </c>
      <c r="C170" s="293">
        <v>1450.0</v>
      </c>
      <c r="D170" s="293">
        <v>-1.2896562E7</v>
      </c>
      <c r="E170" s="293">
        <v>6436.0</v>
      </c>
      <c r="F170" s="293">
        <v>-2.35</v>
      </c>
    </row>
    <row r="171">
      <c r="A171" s="58" t="s">
        <v>220</v>
      </c>
      <c r="B171" s="293">
        <v>-2276.0</v>
      </c>
      <c r="C171" s="293">
        <v>2.88</v>
      </c>
      <c r="D171" s="293">
        <v>-5085293.0</v>
      </c>
      <c r="E171" s="293">
        <v>2532.0</v>
      </c>
      <c r="F171" s="293">
        <v>7.76</v>
      </c>
    </row>
    <row r="172">
      <c r="A172" s="58" t="s">
        <v>328</v>
      </c>
      <c r="B172" s="293">
        <v>878.0</v>
      </c>
      <c r="C172" s="293">
        <v>1.883</v>
      </c>
      <c r="D172" s="293">
        <v>-3973676.0</v>
      </c>
      <c r="E172" s="293">
        <v>2087.0</v>
      </c>
      <c r="F172" s="293">
        <v>-43.5</v>
      </c>
    </row>
    <row r="173">
      <c r="A173" s="58" t="s">
        <v>199</v>
      </c>
      <c r="B173" s="293">
        <v>-1954.0</v>
      </c>
      <c r="C173" s="293">
        <v>4.67</v>
      </c>
      <c r="D173" s="293">
        <v>-6877260.0</v>
      </c>
      <c r="E173" s="293">
        <v>3482.0</v>
      </c>
      <c r="F173" s="293">
        <v>-11.6</v>
      </c>
    </row>
    <row r="174">
      <c r="A174" s="58" t="s">
        <v>127</v>
      </c>
      <c r="B174" s="293">
        <v>-1323325.0</v>
      </c>
      <c r="C174" s="293">
        <v>667.2</v>
      </c>
      <c r="D174" s="293">
        <v>-5634555.0</v>
      </c>
      <c r="E174" s="293">
        <v>2803.0</v>
      </c>
      <c r="F174" s="293">
        <v>0.56</v>
      </c>
    </row>
    <row r="175">
      <c r="A175" s="54" t="s">
        <v>203</v>
      </c>
      <c r="B175" s="293">
        <v>-17736.0</v>
      </c>
      <c r="C175" s="293">
        <v>11.65</v>
      </c>
      <c r="D175" s="293">
        <v>-3563828.0</v>
      </c>
      <c r="E175" s="293">
        <v>1830.0</v>
      </c>
      <c r="F175" s="293">
        <v>-16.29</v>
      </c>
    </row>
    <row r="176">
      <c r="A176" s="58" t="s">
        <v>283</v>
      </c>
      <c r="B176" s="293">
        <v>-38733.0</v>
      </c>
      <c r="C176" s="293">
        <v>22.73</v>
      </c>
      <c r="D176" s="293">
        <v>-9387128.0</v>
      </c>
      <c r="E176" s="293">
        <v>4677.0</v>
      </c>
      <c r="F176" s="293">
        <v>2.85</v>
      </c>
    </row>
    <row r="177">
      <c r="A177" s="58" t="s">
        <v>120</v>
      </c>
      <c r="B177" s="293">
        <v>-15311.0</v>
      </c>
      <c r="C177" s="293">
        <v>9.851</v>
      </c>
      <c r="D177" s="293">
        <v>-7653580.0</v>
      </c>
      <c r="E177" s="293">
        <v>3858.8</v>
      </c>
      <c r="F177" s="293">
        <v>-20.04</v>
      </c>
    </row>
    <row r="178">
      <c r="A178" s="58" t="s">
        <v>207</v>
      </c>
      <c r="B178" s="293">
        <v>-13474.0</v>
      </c>
      <c r="C178" s="293">
        <v>8.88</v>
      </c>
      <c r="D178" s="293">
        <v>-4738677.0</v>
      </c>
      <c r="E178" s="293">
        <v>2349.1</v>
      </c>
      <c r="F178" s="293">
        <v>7.23</v>
      </c>
    </row>
    <row r="179">
      <c r="A179" s="58" t="s">
        <v>285</v>
      </c>
      <c r="B179" s="293">
        <v>2578.0</v>
      </c>
      <c r="C179" s="293">
        <v>1.125</v>
      </c>
      <c r="D179" s="293">
        <v>-8538355.0</v>
      </c>
      <c r="E179" s="293">
        <v>4359.0</v>
      </c>
      <c r="F179" s="293">
        <v>-39.0</v>
      </c>
    </row>
    <row r="180">
      <c r="A180" s="58" t="s">
        <v>130</v>
      </c>
      <c r="B180" s="293">
        <v>-145824.0</v>
      </c>
      <c r="C180" s="293">
        <v>79.13</v>
      </c>
      <c r="D180" s="293">
        <v>-7234052.0</v>
      </c>
      <c r="E180" s="293">
        <v>3534.0</v>
      </c>
      <c r="F180" s="293">
        <v>10.39</v>
      </c>
    </row>
    <row r="181">
      <c r="A181" s="58" t="s">
        <v>204</v>
      </c>
      <c r="B181" s="293">
        <v>-5243.0</v>
      </c>
      <c r="C181" s="293">
        <v>6.33</v>
      </c>
      <c r="D181" s="293">
        <v>-1.0019834E7</v>
      </c>
      <c r="E181" s="293">
        <v>5018.0</v>
      </c>
      <c r="F181" s="293">
        <v>-5.8</v>
      </c>
    </row>
    <row r="182">
      <c r="A182" s="58" t="s">
        <v>202</v>
      </c>
      <c r="B182" s="293">
        <v>-43598.0</v>
      </c>
      <c r="C182" s="293">
        <v>25.01</v>
      </c>
      <c r="D182" s="293">
        <v>-1.1199178E7</v>
      </c>
      <c r="E182" s="293">
        <v>5627.0</v>
      </c>
      <c r="F182" s="293">
        <v>-14.73</v>
      </c>
    </row>
    <row r="183">
      <c r="A183" s="58" t="s">
        <v>121</v>
      </c>
      <c r="B183" s="293">
        <v>-224489.0</v>
      </c>
      <c r="C183" s="293">
        <v>116.7</v>
      </c>
      <c r="D183" s="293">
        <v>-7427425.0</v>
      </c>
      <c r="E183" s="293">
        <v>3703.0</v>
      </c>
      <c r="F183" s="293">
        <v>-0.36</v>
      </c>
    </row>
    <row r="184">
      <c r="A184" s="58" t="s">
        <v>224</v>
      </c>
      <c r="B184" s="293">
        <v>-21584.0</v>
      </c>
      <c r="C184" s="293">
        <v>13.47</v>
      </c>
      <c r="D184" s="293">
        <v>-6853496.0</v>
      </c>
      <c r="E184" s="293">
        <v>3369.0</v>
      </c>
      <c r="F184" s="293">
        <v>19.3</v>
      </c>
    </row>
    <row r="185">
      <c r="A185" s="58" t="s">
        <v>225</v>
      </c>
      <c r="B185" s="293">
        <v>-103092.0</v>
      </c>
      <c r="C185" s="293">
        <v>54.42</v>
      </c>
      <c r="D185" s="293">
        <v>-7445927.0</v>
      </c>
      <c r="E185" s="293">
        <v>3727.0</v>
      </c>
      <c r="F185" s="293">
        <v>-3.19</v>
      </c>
    </row>
    <row r="186">
      <c r="A186" s="58" t="s">
        <v>128</v>
      </c>
      <c r="B186" s="293">
        <v>-2013689.0</v>
      </c>
      <c r="C186" s="293">
        <v>1010.0</v>
      </c>
      <c r="D186" s="293">
        <v>-5719120.0</v>
      </c>
      <c r="E186" s="293">
        <v>2853.0</v>
      </c>
      <c r="F186" s="293">
        <v>-0.594</v>
      </c>
    </row>
    <row r="187">
      <c r="A187" s="58" t="s">
        <v>131</v>
      </c>
      <c r="B187" s="293">
        <v>-782893.0</v>
      </c>
      <c r="C187" s="293">
        <v>397.9</v>
      </c>
      <c r="D187" s="293">
        <v>-6793710.0</v>
      </c>
      <c r="E187" s="293">
        <v>3393.0</v>
      </c>
      <c r="F187" s="293">
        <v>-1.25</v>
      </c>
    </row>
    <row r="188">
      <c r="A188" s="58" t="s">
        <v>281</v>
      </c>
      <c r="B188" s="293">
        <v>-8013.0</v>
      </c>
      <c r="C188" s="293">
        <v>6.545</v>
      </c>
      <c r="D188" s="293">
        <v>-1.2716737E7</v>
      </c>
      <c r="E188" s="293">
        <v>6115.0</v>
      </c>
      <c r="F188" s="293">
        <v>83.6</v>
      </c>
    </row>
    <row r="189">
      <c r="A189" s="58" t="s">
        <v>129</v>
      </c>
      <c r="B189" s="293">
        <v>-22958.0</v>
      </c>
      <c r="C189" s="293">
        <v>14.7</v>
      </c>
      <c r="D189" s="293">
        <v>-7586377.0</v>
      </c>
      <c r="E189" s="293">
        <v>3775.0</v>
      </c>
      <c r="F189" s="293">
        <v>1.2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</cols>
  <sheetData>
    <row r="1">
      <c r="A1" s="291" t="s">
        <v>1191</v>
      </c>
      <c r="B1" s="292" t="s">
        <v>1186</v>
      </c>
      <c r="C1" s="292" t="s">
        <v>1187</v>
      </c>
      <c r="D1" s="292" t="s">
        <v>1188</v>
      </c>
      <c r="E1" s="292" t="s">
        <v>1189</v>
      </c>
      <c r="F1" s="292" t="s">
        <v>1190</v>
      </c>
    </row>
    <row r="2">
      <c r="A2" s="54" t="s">
        <v>367</v>
      </c>
      <c r="B2" s="293">
        <v>-4777425.0</v>
      </c>
      <c r="C2" s="293">
        <v>2383.0</v>
      </c>
      <c r="D2" s="293">
        <v>-684536.0</v>
      </c>
      <c r="E2" s="293">
        <v>340.0</v>
      </c>
      <c r="F2" s="293">
        <v>0.2034</v>
      </c>
    </row>
    <row r="3">
      <c r="A3" s="54" t="s">
        <v>369</v>
      </c>
      <c r="B3" s="293">
        <v>-4417507.0</v>
      </c>
      <c r="C3" s="293">
        <v>2229.0</v>
      </c>
      <c r="D3" s="293">
        <v>-867878.0</v>
      </c>
      <c r="E3" s="293">
        <v>427.0</v>
      </c>
      <c r="F3" s="293">
        <v>0.1784</v>
      </c>
    </row>
    <row r="4">
      <c r="A4" s="54" t="s">
        <v>344</v>
      </c>
      <c r="B4" s="293">
        <v>-1147522.0</v>
      </c>
      <c r="C4" s="293">
        <v>609.0</v>
      </c>
      <c r="D4" s="293">
        <v>-5005596.0</v>
      </c>
      <c r="E4" s="293">
        <v>2514.0</v>
      </c>
      <c r="F4" s="293">
        <v>-0.503</v>
      </c>
    </row>
    <row r="5">
      <c r="A5" s="54" t="s">
        <v>352</v>
      </c>
      <c r="B5" s="293">
        <v>-6349051.0</v>
      </c>
      <c r="C5" s="293">
        <v>3202.0</v>
      </c>
      <c r="D5" s="293">
        <v>-5561453.0</v>
      </c>
      <c r="E5" s="293">
        <v>2779.0</v>
      </c>
      <c r="F5" s="293">
        <v>-0.178</v>
      </c>
    </row>
    <row r="6">
      <c r="A6" s="54" t="s">
        <v>351</v>
      </c>
      <c r="B6" s="293">
        <v>-6338704.0</v>
      </c>
      <c r="C6" s="293">
        <v>3189.0</v>
      </c>
      <c r="D6" s="293">
        <v>-6793912.0</v>
      </c>
      <c r="E6" s="293">
        <v>3398.0</v>
      </c>
      <c r="F6" s="293">
        <v>-0.373</v>
      </c>
    </row>
    <row r="7">
      <c r="A7" s="54" t="s">
        <v>345</v>
      </c>
      <c r="B7" s="293">
        <v>-1.0688893E7</v>
      </c>
      <c r="C7" s="293">
        <v>5340.0</v>
      </c>
      <c r="D7" s="293">
        <v>-2270720.0</v>
      </c>
      <c r="E7" s="293">
        <v>1131.0</v>
      </c>
      <c r="F7" s="293">
        <v>0.1725</v>
      </c>
    </row>
    <row r="8">
      <c r="A8" s="54" t="s">
        <v>355</v>
      </c>
      <c r="B8" s="293">
        <v>-1.0013826E7</v>
      </c>
      <c r="C8" s="293">
        <v>5005.0</v>
      </c>
      <c r="D8" s="293">
        <v>-4325866.0</v>
      </c>
      <c r="E8" s="293">
        <v>2157.0</v>
      </c>
      <c r="F8" s="293">
        <v>-0.0211</v>
      </c>
    </row>
    <row r="9">
      <c r="A9" s="54" t="s">
        <v>350</v>
      </c>
      <c r="B9" s="293">
        <v>-1.0764933E7</v>
      </c>
      <c r="C9" s="293">
        <v>5363.0</v>
      </c>
      <c r="D9" s="293">
        <v>-4447561.0</v>
      </c>
      <c r="E9" s="293">
        <v>2218.0</v>
      </c>
      <c r="F9" s="293">
        <v>-0.0309</v>
      </c>
    </row>
    <row r="10">
      <c r="A10" s="54" t="s">
        <v>339</v>
      </c>
      <c r="B10" s="293">
        <v>-5439159.0</v>
      </c>
      <c r="C10" s="293">
        <v>2712.0</v>
      </c>
      <c r="D10" s="293">
        <v>-6655911.0</v>
      </c>
      <c r="E10" s="293">
        <v>3313.0</v>
      </c>
      <c r="F10" s="293">
        <v>-0.205</v>
      </c>
    </row>
    <row r="11">
      <c r="A11" s="54" t="s">
        <v>336</v>
      </c>
      <c r="B11" s="293">
        <v>-1.0371063E7</v>
      </c>
      <c r="C11" s="293">
        <v>5172.0</v>
      </c>
      <c r="D11" s="293">
        <v>-6275886.0</v>
      </c>
      <c r="E11" s="293">
        <v>3124.0</v>
      </c>
      <c r="F11" s="293">
        <v>-0.071</v>
      </c>
    </row>
    <row r="12">
      <c r="A12" s="54" t="s">
        <v>340</v>
      </c>
      <c r="B12" s="293">
        <v>-1261213.0</v>
      </c>
      <c r="C12" s="293">
        <v>629.7</v>
      </c>
      <c r="D12" s="293">
        <v>-5546451.0</v>
      </c>
      <c r="E12" s="293">
        <v>2760.0</v>
      </c>
      <c r="F12" s="293">
        <v>-0.006</v>
      </c>
    </row>
    <row r="13">
      <c r="A13" s="54" t="s">
        <v>370</v>
      </c>
      <c r="B13" s="293">
        <v>-1.011458E7</v>
      </c>
      <c r="C13" s="293">
        <v>5027.0</v>
      </c>
      <c r="D13" s="293">
        <v>-1461742.0</v>
      </c>
      <c r="E13" s="293">
        <v>729.0</v>
      </c>
      <c r="F13" s="293">
        <v>-1.3E-4</v>
      </c>
    </row>
    <row r="14">
      <c r="A14" s="54" t="s">
        <v>368</v>
      </c>
      <c r="B14" s="293">
        <v>-7268131.0</v>
      </c>
      <c r="C14" s="293">
        <v>3616.0</v>
      </c>
      <c r="D14" s="293">
        <v>-1632742.0</v>
      </c>
      <c r="E14" s="293">
        <v>814.0</v>
      </c>
      <c r="F14" s="293">
        <v>-0.0254</v>
      </c>
    </row>
    <row r="15">
      <c r="A15" s="54" t="s">
        <v>359</v>
      </c>
      <c r="B15" s="293">
        <v>-4821202.0</v>
      </c>
      <c r="C15" s="293">
        <v>2404.0</v>
      </c>
      <c r="D15" s="293">
        <v>-2489289.0</v>
      </c>
      <c r="E15" s="293">
        <v>1241.0</v>
      </c>
      <c r="F15" s="293">
        <v>-0.0183</v>
      </c>
    </row>
    <row r="16">
      <c r="A16" s="54" t="s">
        <v>356</v>
      </c>
      <c r="B16" s="293">
        <v>-1.0062123E7</v>
      </c>
      <c r="C16" s="293">
        <v>5015.0</v>
      </c>
      <c r="D16" s="293">
        <v>-2370160.0</v>
      </c>
      <c r="E16" s="293">
        <v>1182.0</v>
      </c>
      <c r="F16" s="293">
        <v>0.0031</v>
      </c>
    </row>
    <row r="17">
      <c r="A17" s="54" t="s">
        <v>360</v>
      </c>
      <c r="B17" s="293">
        <v>-1644276.0</v>
      </c>
      <c r="C17" s="293">
        <v>861.0</v>
      </c>
      <c r="D17" s="293">
        <v>-2415261.0</v>
      </c>
      <c r="E17" s="293">
        <v>1204.5</v>
      </c>
      <c r="F17" s="293">
        <v>-0.00849</v>
      </c>
    </row>
    <row r="18">
      <c r="A18" s="54" t="s">
        <v>361</v>
      </c>
      <c r="B18" s="293">
        <v>-1.4402159E7</v>
      </c>
      <c r="C18" s="293">
        <v>7181.0</v>
      </c>
      <c r="D18" s="293">
        <v>-1937955.0</v>
      </c>
      <c r="E18" s="293">
        <v>968.0</v>
      </c>
      <c r="F18" s="293">
        <v>-0.002</v>
      </c>
    </row>
    <row r="19">
      <c r="A19" s="54" t="s">
        <v>357</v>
      </c>
      <c r="B19" s="293">
        <v>-1.8761094E7</v>
      </c>
      <c r="C19" s="293">
        <v>9334.0</v>
      </c>
      <c r="D19" s="293">
        <v>-2157535.0</v>
      </c>
      <c r="E19" s="293">
        <v>1078.0</v>
      </c>
      <c r="F19" s="293">
        <v>-0.0133</v>
      </c>
    </row>
    <row r="20">
      <c r="A20" s="54" t="s">
        <v>337</v>
      </c>
      <c r="B20" s="293">
        <v>-1.0907056E7</v>
      </c>
      <c r="C20" s="293">
        <v>5441.0</v>
      </c>
      <c r="D20" s="293">
        <v>-5582345.0</v>
      </c>
      <c r="E20" s="293">
        <v>2784.0</v>
      </c>
      <c r="F20" s="293">
        <v>-0.0906</v>
      </c>
    </row>
    <row r="21">
      <c r="A21" s="54" t="s">
        <v>341</v>
      </c>
      <c r="B21" s="293">
        <v>-1.3230521E7</v>
      </c>
      <c r="C21" s="293">
        <v>6580.0</v>
      </c>
      <c r="D21" s="293">
        <v>-4849606.0</v>
      </c>
      <c r="E21" s="293">
        <v>2418.0</v>
      </c>
      <c r="F21" s="293">
        <v>-0.0193</v>
      </c>
    </row>
    <row r="22">
      <c r="A22" s="54" t="s">
        <v>338</v>
      </c>
      <c r="B22" s="293">
        <v>-1.0808603E7</v>
      </c>
      <c r="C22" s="293">
        <v>5392.0</v>
      </c>
      <c r="D22" s="293">
        <v>-4879213.0</v>
      </c>
      <c r="E22" s="293">
        <v>2433.0</v>
      </c>
      <c r="F22" s="293">
        <v>-0.0264</v>
      </c>
    </row>
    <row r="23">
      <c r="A23" s="54" t="s">
        <v>334</v>
      </c>
      <c r="B23" s="293">
        <v>-3360147.0</v>
      </c>
      <c r="C23" s="293">
        <v>1692.0</v>
      </c>
      <c r="D23" s="293">
        <v>-5450798.0</v>
      </c>
      <c r="E23" s="293">
        <v>2723.0</v>
      </c>
      <c r="F23" s="293">
        <v>-0.255</v>
      </c>
    </row>
    <row r="24">
      <c r="A24" s="54" t="s">
        <v>1192</v>
      </c>
      <c r="B24" s="293">
        <v>-137490.0</v>
      </c>
      <c r="C24" s="293">
        <v>69.03</v>
      </c>
      <c r="D24" s="293">
        <v>-7524716.0</v>
      </c>
      <c r="E24" s="293">
        <v>3753.0</v>
      </c>
      <c r="F24" s="293">
        <v>-3.46</v>
      </c>
    </row>
    <row r="25">
      <c r="A25" s="54" t="s">
        <v>1193</v>
      </c>
      <c r="B25" s="293">
        <v>-1476355.0</v>
      </c>
      <c r="C25" s="293">
        <v>769.2</v>
      </c>
      <c r="D25" s="293">
        <v>-6752530.0</v>
      </c>
      <c r="E25" s="293">
        <v>3360.0</v>
      </c>
      <c r="F25" s="293">
        <v>0.201</v>
      </c>
    </row>
    <row r="26">
      <c r="A26" s="54" t="s">
        <v>1194</v>
      </c>
      <c r="B26" s="293">
        <v>-5506613.0</v>
      </c>
      <c r="C26" s="293">
        <v>2783.0</v>
      </c>
      <c r="D26" s="293">
        <v>-6567126.0</v>
      </c>
      <c r="E26" s="293">
        <v>3271.0</v>
      </c>
      <c r="F26" s="293">
        <v>0.088</v>
      </c>
    </row>
    <row r="27">
      <c r="A27" s="54" t="s">
        <v>1195</v>
      </c>
      <c r="B27" s="293">
        <v>-4585922.0</v>
      </c>
      <c r="C27" s="293">
        <v>2316.0</v>
      </c>
      <c r="D27" s="293">
        <v>-5622925.0</v>
      </c>
      <c r="E27" s="293">
        <v>2794.0</v>
      </c>
      <c r="F27" s="293">
        <v>0.311</v>
      </c>
    </row>
    <row r="28">
      <c r="A28" s="54" t="s">
        <v>40</v>
      </c>
      <c r="B28" s="293">
        <v>-1414831.0</v>
      </c>
      <c r="C28" s="293">
        <v>724.6</v>
      </c>
      <c r="D28" s="293">
        <v>-2763434.0</v>
      </c>
      <c r="E28" s="293">
        <v>1389.4</v>
      </c>
      <c r="F28" s="293">
        <v>-0.075</v>
      </c>
    </row>
    <row r="29">
      <c r="A29" s="54" t="s">
        <v>70</v>
      </c>
      <c r="B29" s="293">
        <v>-3051913.0</v>
      </c>
      <c r="C29" s="293">
        <v>1552.0</v>
      </c>
      <c r="D29" s="293">
        <v>-9659780.0</v>
      </c>
      <c r="E29" s="293">
        <v>4840.0</v>
      </c>
      <c r="F29" s="293">
        <v>-0.771</v>
      </c>
    </row>
    <row r="30">
      <c r="A30" s="54" t="s">
        <v>364</v>
      </c>
      <c r="B30" s="293">
        <v>-1.1566655E7</v>
      </c>
      <c r="C30" s="293">
        <v>5756.0</v>
      </c>
      <c r="D30" s="293">
        <v>-2120364.0</v>
      </c>
      <c r="E30" s="293">
        <v>1057.0</v>
      </c>
      <c r="F30" s="293">
        <v>-0.0061</v>
      </c>
    </row>
    <row r="31">
      <c r="A31" s="54" t="s">
        <v>366</v>
      </c>
      <c r="B31" s="293">
        <v>-1.1566655E7</v>
      </c>
      <c r="C31" s="293">
        <v>5756.0</v>
      </c>
      <c r="D31" s="293">
        <v>-2113065.0</v>
      </c>
      <c r="E31" s="293">
        <v>1053.0</v>
      </c>
      <c r="F31" s="293">
        <v>-0.006</v>
      </c>
    </row>
    <row r="32">
      <c r="A32" s="54" t="s">
        <v>362</v>
      </c>
      <c r="B32" s="293">
        <v>-1.4784588E7</v>
      </c>
      <c r="C32" s="293">
        <v>7349.0</v>
      </c>
      <c r="D32" s="293">
        <v>-2031720.0</v>
      </c>
      <c r="E32" s="293">
        <v>1013.0</v>
      </c>
      <c r="F32" s="293">
        <v>0.001</v>
      </c>
    </row>
    <row r="33">
      <c r="A33" s="54" t="s">
        <v>348</v>
      </c>
      <c r="B33" s="293">
        <v>-3386901.0</v>
      </c>
      <c r="C33" s="293">
        <v>1688.0</v>
      </c>
      <c r="D33" s="293">
        <v>-5063416.0</v>
      </c>
      <c r="E33" s="293">
        <v>2520.6</v>
      </c>
      <c r="F33" s="293">
        <v>-0.0064</v>
      </c>
    </row>
    <row r="34">
      <c r="A34" s="54" t="s">
        <v>349</v>
      </c>
      <c r="B34" s="293">
        <v>-3260811.0</v>
      </c>
      <c r="C34" s="293">
        <v>1629.0</v>
      </c>
      <c r="D34" s="293">
        <v>-4914954.0</v>
      </c>
      <c r="E34" s="293">
        <v>2446.5</v>
      </c>
      <c r="F34" s="293">
        <v>0.0388</v>
      </c>
    </row>
    <row r="35">
      <c r="A35" s="54" t="s">
        <v>346</v>
      </c>
      <c r="B35" s="293">
        <v>-9059684.0</v>
      </c>
      <c r="C35" s="293">
        <v>4506.0</v>
      </c>
      <c r="D35" s="293">
        <v>-5061826.0</v>
      </c>
      <c r="E35" s="293">
        <v>2519.8</v>
      </c>
      <c r="F35" s="293">
        <v>-0.0022</v>
      </c>
    </row>
    <row r="36">
      <c r="A36" s="54" t="s">
        <v>303</v>
      </c>
      <c r="B36" s="293">
        <v>-100552.0</v>
      </c>
      <c r="C36" s="293">
        <v>57.81</v>
      </c>
      <c r="D36" s="293">
        <v>-7161190.0</v>
      </c>
      <c r="E36" s="293">
        <v>3567.2</v>
      </c>
      <c r="F36" s="293">
        <v>0.543</v>
      </c>
    </row>
    <row r="37">
      <c r="A37" s="54" t="s">
        <v>304</v>
      </c>
      <c r="B37" s="293">
        <v>-4982953.0</v>
      </c>
      <c r="C37" s="293">
        <v>2520.0</v>
      </c>
      <c r="D37" s="293">
        <v>-6708296.0</v>
      </c>
      <c r="E37" s="293">
        <v>3342.0</v>
      </c>
      <c r="F37" s="293">
        <v>0.1018</v>
      </c>
    </row>
    <row r="38">
      <c r="A38" s="54" t="s">
        <v>300</v>
      </c>
      <c r="B38" s="293">
        <v>-6528103.0</v>
      </c>
      <c r="C38" s="293">
        <v>3250.0</v>
      </c>
      <c r="D38" s="293">
        <v>-7132193.0</v>
      </c>
      <c r="E38" s="293">
        <v>3557.0</v>
      </c>
      <c r="F38" s="293">
        <v>0.0128</v>
      </c>
    </row>
    <row r="39">
      <c r="A39" s="54" t="s">
        <v>302</v>
      </c>
      <c r="B39" s="293">
        <v>-916610.0</v>
      </c>
      <c r="C39" s="293">
        <v>458.4</v>
      </c>
      <c r="D39" s="293">
        <v>-7186606.0</v>
      </c>
      <c r="E39" s="293">
        <v>3584.0</v>
      </c>
      <c r="F39" s="293">
        <v>0.0318</v>
      </c>
    </row>
    <row r="40">
      <c r="A40" s="54" t="s">
        <v>305</v>
      </c>
      <c r="B40" s="293">
        <v>-3565020.0</v>
      </c>
      <c r="C40" s="293">
        <v>1803.0</v>
      </c>
      <c r="D40" s="293">
        <v>-7016887.0</v>
      </c>
      <c r="E40" s="293">
        <v>3498.0</v>
      </c>
      <c r="F40" s="293">
        <v>0.056</v>
      </c>
    </row>
    <row r="41">
      <c r="A41" s="54" t="s">
        <v>301</v>
      </c>
      <c r="B41" s="293">
        <v>-204256.0</v>
      </c>
      <c r="C41" s="293">
        <v>118.5</v>
      </c>
      <c r="D41" s="293">
        <v>-7163761.0</v>
      </c>
      <c r="E41" s="293">
        <v>3568.4</v>
      </c>
      <c r="F41" s="293">
        <v>0.255</v>
      </c>
    </row>
    <row r="42">
      <c r="A42" s="54" t="s">
        <v>326</v>
      </c>
      <c r="B42" s="293">
        <v>-9957240.0</v>
      </c>
      <c r="C42" s="293">
        <v>4967.0</v>
      </c>
      <c r="D42" s="293">
        <v>-4222888.0</v>
      </c>
      <c r="E42" s="293">
        <v>2108.0</v>
      </c>
      <c r="F42" s="293">
        <v>0.069</v>
      </c>
    </row>
    <row r="43">
      <c r="A43" s="54" t="s">
        <v>325</v>
      </c>
      <c r="B43" s="293">
        <v>-1.1730586E7</v>
      </c>
      <c r="C43" s="293">
        <v>5862.0</v>
      </c>
      <c r="D43" s="293">
        <v>-5046863.0</v>
      </c>
      <c r="E43" s="293">
        <v>2519.0</v>
      </c>
      <c r="F43" s="293">
        <v>-0.012</v>
      </c>
    </row>
    <row r="44">
      <c r="A44" s="54" t="s">
        <v>296</v>
      </c>
      <c r="B44" s="293">
        <v>-795648.0</v>
      </c>
      <c r="C44" s="293">
        <v>407.4</v>
      </c>
      <c r="D44" s="293">
        <v>-8768967.0</v>
      </c>
      <c r="E44" s="293">
        <v>4371.0</v>
      </c>
      <c r="F44" s="293">
        <v>-0.234</v>
      </c>
    </row>
    <row r="45">
      <c r="A45" s="54" t="s">
        <v>298</v>
      </c>
      <c r="B45" s="293">
        <v>-1.0787394E7</v>
      </c>
      <c r="C45" s="293">
        <v>5389.0</v>
      </c>
      <c r="D45" s="293">
        <v>-6086131.0</v>
      </c>
      <c r="E45" s="293">
        <v>3032.0</v>
      </c>
      <c r="F45" s="293">
        <v>0.157</v>
      </c>
    </row>
    <row r="46">
      <c r="A46" s="54" t="s">
        <v>292</v>
      </c>
      <c r="B46" s="293">
        <v>-4874455.0</v>
      </c>
      <c r="C46" s="293">
        <v>2445.0</v>
      </c>
      <c r="D46" s="293">
        <v>-9831936.0</v>
      </c>
      <c r="E46" s="293">
        <v>4896.0</v>
      </c>
      <c r="F46" s="293">
        <v>0.074</v>
      </c>
    </row>
    <row r="47">
      <c r="A47" s="54" t="s">
        <v>308</v>
      </c>
      <c r="B47" s="293">
        <v>-4938122.0</v>
      </c>
      <c r="C47" s="293">
        <v>2484.0</v>
      </c>
      <c r="D47" s="293">
        <v>-1.0034482E7</v>
      </c>
      <c r="E47" s="293">
        <v>5009.0</v>
      </c>
      <c r="F47" s="293">
        <v>-0.463</v>
      </c>
    </row>
    <row r="48">
      <c r="A48" s="54" t="s">
        <v>321</v>
      </c>
      <c r="B48" s="293">
        <v>-84604.0</v>
      </c>
      <c r="C48" s="293">
        <v>66.8</v>
      </c>
      <c r="D48" s="293">
        <v>-6022127.0</v>
      </c>
      <c r="E48" s="293">
        <v>3025.0</v>
      </c>
      <c r="F48" s="293">
        <v>-0.933</v>
      </c>
    </row>
    <row r="49">
      <c r="A49" s="54" t="s">
        <v>319</v>
      </c>
      <c r="B49" s="293">
        <v>-4647461.0</v>
      </c>
      <c r="C49" s="293">
        <v>2367.0</v>
      </c>
      <c r="D49" s="293">
        <v>-6122362.0</v>
      </c>
      <c r="E49" s="293">
        <v>3049.0</v>
      </c>
      <c r="F49" s="293">
        <v>0.052</v>
      </c>
    </row>
    <row r="50">
      <c r="A50" s="54" t="s">
        <v>327</v>
      </c>
      <c r="B50" s="293">
        <v>-1.2329327E7</v>
      </c>
      <c r="C50" s="293">
        <v>6206.0</v>
      </c>
      <c r="D50" s="293">
        <v>-5968770.0</v>
      </c>
      <c r="E50" s="293">
        <v>2979.0</v>
      </c>
      <c r="F50" s="293">
        <v>-0.0526</v>
      </c>
    </row>
    <row r="51">
      <c r="A51" s="54" t="s">
        <v>382</v>
      </c>
      <c r="B51" s="293">
        <v>-6089473.0</v>
      </c>
      <c r="C51" s="293">
        <v>3038.0</v>
      </c>
      <c r="D51" s="293">
        <v>-848491.0</v>
      </c>
      <c r="E51" s="293">
        <v>425.7</v>
      </c>
      <c r="F51" s="293">
        <v>-0.0526</v>
      </c>
    </row>
    <row r="52">
      <c r="A52" s="295" t="s">
        <v>378</v>
      </c>
      <c r="B52" s="293">
        <v>-5090262.0</v>
      </c>
      <c r="C52" s="293">
        <v>2541.0</v>
      </c>
      <c r="D52" s="293">
        <v>-1777849.0</v>
      </c>
      <c r="E52" s="293">
        <v>886.4</v>
      </c>
      <c r="F52" s="293">
        <v>-0.0182</v>
      </c>
    </row>
    <row r="53">
      <c r="A53" s="295" t="s">
        <v>1196</v>
      </c>
      <c r="B53" s="293">
        <v>-1.1935278E7</v>
      </c>
      <c r="C53" s="293">
        <v>5960.0</v>
      </c>
      <c r="D53" s="293">
        <v>-1409045.0</v>
      </c>
      <c r="E53" s="293">
        <v>703.0</v>
      </c>
      <c r="F53" s="293">
        <v>-0.0094</v>
      </c>
    </row>
    <row r="54">
      <c r="A54" s="295" t="s">
        <v>381</v>
      </c>
      <c r="B54" s="293">
        <v>-5909021.0</v>
      </c>
      <c r="C54" s="293">
        <v>2955.0</v>
      </c>
      <c r="D54" s="293">
        <v>-973274.0</v>
      </c>
      <c r="E54" s="293">
        <v>484.9</v>
      </c>
      <c r="F54" s="293">
        <v>0.0178</v>
      </c>
    </row>
    <row r="55">
      <c r="A55" s="295" t="s">
        <v>376</v>
      </c>
      <c r="B55" s="293">
        <v>-4808577.0</v>
      </c>
      <c r="C55" s="293">
        <v>2397.0</v>
      </c>
      <c r="D55" s="293">
        <v>-1657007.0</v>
      </c>
      <c r="E55" s="293">
        <v>826.0</v>
      </c>
      <c r="F55" s="293">
        <v>0.0458</v>
      </c>
    </row>
    <row r="56">
      <c r="A56" s="295" t="s">
        <v>380</v>
      </c>
      <c r="B56" s="293">
        <v>-1.4483883E7</v>
      </c>
      <c r="C56" s="293">
        <v>7203.0</v>
      </c>
      <c r="D56" s="293">
        <v>-1752298.0</v>
      </c>
      <c r="E56" s="293">
        <v>872.8</v>
      </c>
      <c r="F56" s="293">
        <v>0.00322</v>
      </c>
    </row>
    <row r="57">
      <c r="A57" s="295" t="s">
        <v>373</v>
      </c>
      <c r="B57" s="293">
        <v>-1543375.0</v>
      </c>
      <c r="C57" s="293">
        <v>771.4</v>
      </c>
      <c r="D57" s="293">
        <v>-3850363.0</v>
      </c>
      <c r="E57" s="293">
        <v>1916.0</v>
      </c>
      <c r="F57" s="293">
        <v>-0.159</v>
      </c>
    </row>
    <row r="58">
      <c r="A58" s="295" t="s">
        <v>1197</v>
      </c>
      <c r="B58" s="293">
        <v>-9489275.0</v>
      </c>
      <c r="C58" s="293">
        <v>4747.0</v>
      </c>
      <c r="D58" s="293">
        <v>-2223308.0</v>
      </c>
      <c r="E58" s="293">
        <v>1106.4</v>
      </c>
      <c r="F58" s="293">
        <v>0.01801</v>
      </c>
    </row>
    <row r="59">
      <c r="A59" s="295" t="s">
        <v>377</v>
      </c>
      <c r="B59" s="293">
        <v>-8108064.0</v>
      </c>
      <c r="C59" s="293">
        <v>4036.0</v>
      </c>
      <c r="D59" s="293">
        <v>-1674368.0</v>
      </c>
      <c r="E59" s="293">
        <v>834.3</v>
      </c>
      <c r="F59" s="293">
        <v>0.0118</v>
      </c>
    </row>
    <row r="60">
      <c r="A60" s="295" t="s">
        <v>388</v>
      </c>
      <c r="B60" s="293">
        <v>-532073.0</v>
      </c>
      <c r="C60" s="293">
        <v>266.5</v>
      </c>
      <c r="D60" s="293">
        <v>-399897.0</v>
      </c>
      <c r="E60" s="293">
        <v>200.0</v>
      </c>
      <c r="F60" s="293">
        <v>-0.2561</v>
      </c>
    </row>
    <row r="61">
      <c r="A61" s="295" t="s">
        <v>385</v>
      </c>
      <c r="B61" s="293">
        <v>-1323120.0</v>
      </c>
      <c r="C61" s="293">
        <v>662.9</v>
      </c>
      <c r="D61" s="293">
        <v>-602662.0</v>
      </c>
      <c r="E61" s="293">
        <v>301.0</v>
      </c>
      <c r="F61" s="293">
        <v>-0.132</v>
      </c>
    </row>
    <row r="62">
      <c r="A62" s="295" t="s">
        <v>1198</v>
      </c>
      <c r="B62" s="293">
        <v>-2665072.0</v>
      </c>
      <c r="C62" s="293">
        <v>1350.0</v>
      </c>
      <c r="D62" s="293">
        <v>-215291.0</v>
      </c>
      <c r="E62" s="293">
        <v>107.9</v>
      </c>
      <c r="F62" s="293">
        <v>0.0086</v>
      </c>
    </row>
    <row r="63">
      <c r="A63" s="54" t="s">
        <v>386</v>
      </c>
      <c r="B63" s="293">
        <v>-759234.0</v>
      </c>
      <c r="C63" s="293">
        <v>380.6</v>
      </c>
      <c r="D63" s="293">
        <v>-230700.0</v>
      </c>
      <c r="E63" s="293">
        <v>115.84</v>
      </c>
      <c r="F63" s="293">
        <v>-0.0028</v>
      </c>
    </row>
    <row r="64">
      <c r="A64" s="295" t="s">
        <v>387</v>
      </c>
      <c r="B64" s="293">
        <v>-1818622.0</v>
      </c>
      <c r="C64" s="293">
        <v>907.1</v>
      </c>
      <c r="D64" s="293">
        <v>-189553.0</v>
      </c>
      <c r="E64" s="293">
        <v>95.47</v>
      </c>
      <c r="F64" s="293">
        <v>-0.0044</v>
      </c>
    </row>
    <row r="65">
      <c r="A65" s="295" t="s">
        <v>379</v>
      </c>
      <c r="B65" s="293">
        <v>-6879493.0</v>
      </c>
      <c r="C65" s="293">
        <v>3443.0</v>
      </c>
      <c r="D65" s="293">
        <v>-1165905.0</v>
      </c>
      <c r="E65" s="293">
        <v>584.1</v>
      </c>
      <c r="F65" s="293">
        <v>-0.0032</v>
      </c>
    </row>
    <row r="66">
      <c r="A66" s="295" t="s">
        <v>375</v>
      </c>
      <c r="B66" s="293">
        <v>-1005507.0</v>
      </c>
      <c r="C66" s="293">
        <v>502.0</v>
      </c>
      <c r="D66" s="293">
        <v>-1055146.0</v>
      </c>
      <c r="E66" s="293">
        <v>529.0</v>
      </c>
      <c r="F66" s="293">
        <v>0.089</v>
      </c>
    </row>
    <row r="67">
      <c r="A67" s="295" t="s">
        <v>383</v>
      </c>
      <c r="B67" s="293">
        <v>-1658054.0</v>
      </c>
      <c r="C67" s="293">
        <v>826.5</v>
      </c>
      <c r="D67" s="293">
        <v>-432623.0</v>
      </c>
      <c r="E67" s="293">
        <v>218.0</v>
      </c>
      <c r="F67" s="293">
        <v>-0.0076</v>
      </c>
    </row>
    <row r="68">
      <c r="A68" s="295" t="s">
        <v>384</v>
      </c>
      <c r="B68" s="293">
        <v>-650289.0</v>
      </c>
      <c r="C68" s="293">
        <v>330.2</v>
      </c>
      <c r="D68" s="293">
        <v>-405844.0</v>
      </c>
      <c r="E68" s="293">
        <v>204.5</v>
      </c>
      <c r="F68" s="293">
        <v>0.0217</v>
      </c>
    </row>
    <row r="69">
      <c r="A69" s="295" t="s">
        <v>1199</v>
      </c>
      <c r="B69" s="293">
        <v>-2659742.0</v>
      </c>
      <c r="C69" s="293">
        <v>1354.0</v>
      </c>
      <c r="D69" s="293">
        <v>-772252.0</v>
      </c>
      <c r="E69" s="293">
        <v>387.5</v>
      </c>
      <c r="F69" s="293">
        <v>0.0037</v>
      </c>
    </row>
    <row r="70">
      <c r="A70" s="113"/>
      <c r="B70" s="113"/>
      <c r="C70" s="113"/>
      <c r="D70" s="113"/>
      <c r="E70" s="113"/>
      <c r="F70" s="113"/>
    </row>
    <row r="71">
      <c r="A71" s="113"/>
      <c r="B71" s="113"/>
      <c r="C71" s="113"/>
      <c r="D71" s="113"/>
      <c r="E71" s="113"/>
      <c r="F71" s="113"/>
    </row>
    <row r="72">
      <c r="A72" s="113"/>
      <c r="B72" s="113"/>
      <c r="C72" s="113"/>
      <c r="D72" s="113"/>
      <c r="E72" s="113"/>
      <c r="F72" s="113"/>
    </row>
    <row r="73">
      <c r="A73" s="113"/>
      <c r="B73" s="113"/>
      <c r="C73" s="113"/>
      <c r="D73" s="113"/>
      <c r="E73" s="113"/>
      <c r="F73" s="113"/>
    </row>
    <row r="74">
      <c r="A74" s="113"/>
      <c r="B74" s="113"/>
      <c r="C74" s="113"/>
      <c r="D74" s="113"/>
      <c r="E74" s="113"/>
      <c r="F74" s="113"/>
    </row>
    <row r="75">
      <c r="A75" s="113"/>
      <c r="B75" s="113"/>
      <c r="C75" s="113"/>
      <c r="D75" s="113"/>
      <c r="E75" s="113"/>
      <c r="F75" s="113"/>
    </row>
    <row r="76">
      <c r="A76" s="113"/>
      <c r="B76" s="113"/>
      <c r="C76" s="113"/>
      <c r="D76" s="113"/>
      <c r="E76" s="113"/>
      <c r="F76" s="113"/>
    </row>
    <row r="77">
      <c r="A77" s="113"/>
      <c r="B77" s="113"/>
      <c r="C77" s="113"/>
      <c r="D77" s="113"/>
      <c r="E77" s="113"/>
      <c r="F77" s="113"/>
    </row>
    <row r="78">
      <c r="A78" s="113"/>
      <c r="B78" s="113"/>
      <c r="C78" s="113"/>
      <c r="D78" s="113"/>
      <c r="E78" s="113"/>
      <c r="F78" s="113"/>
    </row>
    <row r="79">
      <c r="A79" s="113"/>
      <c r="B79" s="113"/>
      <c r="C79" s="113"/>
      <c r="D79" s="113"/>
      <c r="E79" s="113"/>
      <c r="F79" s="113"/>
    </row>
    <row r="80">
      <c r="A80" s="113"/>
      <c r="B80" s="113"/>
      <c r="C80" s="113"/>
      <c r="D80" s="113"/>
      <c r="E80" s="113"/>
      <c r="F80" s="113"/>
    </row>
    <row r="81">
      <c r="A81" s="113"/>
      <c r="B81" s="113"/>
      <c r="C81" s="113"/>
      <c r="D81" s="113"/>
      <c r="E81" s="113"/>
      <c r="F81" s="113"/>
    </row>
    <row r="82">
      <c r="A82" s="113"/>
      <c r="B82" s="113"/>
      <c r="C82" s="113"/>
      <c r="D82" s="113"/>
      <c r="E82" s="113"/>
      <c r="F82" s="113"/>
    </row>
    <row r="83">
      <c r="A83" s="113"/>
      <c r="B83" s="113"/>
      <c r="C83" s="113"/>
      <c r="D83" s="113"/>
      <c r="E83" s="113"/>
      <c r="F83" s="113"/>
    </row>
    <row r="84">
      <c r="A84" s="113"/>
      <c r="B84" s="113"/>
      <c r="C84" s="113"/>
      <c r="D84" s="113"/>
      <c r="E84" s="113"/>
      <c r="F84" s="113"/>
    </row>
    <row r="85">
      <c r="A85" s="113"/>
      <c r="B85" s="113"/>
      <c r="C85" s="113"/>
      <c r="D85" s="113"/>
      <c r="E85" s="113"/>
      <c r="F85" s="113"/>
    </row>
    <row r="86">
      <c r="A86" s="113"/>
      <c r="B86" s="113"/>
      <c r="C86" s="113"/>
      <c r="D86" s="113"/>
      <c r="E86" s="113"/>
      <c r="F86" s="113"/>
    </row>
    <row r="87">
      <c r="A87" s="113"/>
      <c r="B87" s="113"/>
      <c r="C87" s="113"/>
      <c r="D87" s="113"/>
      <c r="E87" s="113"/>
      <c r="F87" s="113"/>
    </row>
    <row r="88">
      <c r="A88" s="113"/>
      <c r="B88" s="113"/>
      <c r="C88" s="113"/>
      <c r="D88" s="113"/>
      <c r="E88" s="113"/>
      <c r="F88" s="113"/>
    </row>
    <row r="89">
      <c r="A89" s="113"/>
      <c r="B89" s="113"/>
      <c r="C89" s="113"/>
      <c r="D89" s="113"/>
      <c r="E89" s="113"/>
      <c r="F89" s="113"/>
    </row>
    <row r="90">
      <c r="A90" s="113"/>
      <c r="B90" s="113"/>
      <c r="C90" s="113"/>
      <c r="D90" s="113"/>
      <c r="E90" s="113"/>
      <c r="F90" s="113"/>
    </row>
    <row r="91">
      <c r="A91" s="113"/>
      <c r="B91" s="113"/>
      <c r="C91" s="113"/>
      <c r="D91" s="113"/>
      <c r="E91" s="113"/>
      <c r="F91" s="1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3"/>
      <c r="B1" s="43"/>
    </row>
    <row r="3">
      <c r="A3" s="44" t="s">
        <v>4</v>
      </c>
      <c r="B3" s="45" t="s">
        <v>268</v>
      </c>
      <c r="C3" s="46"/>
      <c r="D3" s="46"/>
      <c r="E3" s="46"/>
    </row>
    <row r="4">
      <c r="A4" s="47"/>
      <c r="B4" s="48"/>
      <c r="C4" s="46"/>
      <c r="D4" s="49"/>
      <c r="E4" s="46"/>
    </row>
    <row r="5">
      <c r="A5" s="50"/>
      <c r="B5" s="51">
        <v>2031.0</v>
      </c>
      <c r="C5" s="46"/>
      <c r="D5" s="52" t="s">
        <v>269</v>
      </c>
      <c r="E5" s="53">
        <v>2021.0</v>
      </c>
    </row>
    <row r="6">
      <c r="A6" s="54" t="s">
        <v>143</v>
      </c>
      <c r="B6" s="55">
        <f> -47319730 + 23556*2031 - 0.6*17715</f>
        <v>511877</v>
      </c>
      <c r="D6" s="20" t="s">
        <v>143</v>
      </c>
      <c r="E6" s="56">
        <v>278058.8</v>
      </c>
    </row>
    <row r="7">
      <c r="A7" s="54" t="s">
        <v>252</v>
      </c>
      <c r="B7" s="55">
        <f> -31117591 + 15611*2031 -28.5*8278</f>
        <v>352427</v>
      </c>
      <c r="D7" s="57" t="s">
        <v>252</v>
      </c>
      <c r="E7" s="56">
        <v>210937.5</v>
      </c>
    </row>
    <row r="8">
      <c r="A8" s="54" t="s">
        <v>92</v>
      </c>
      <c r="B8" s="55">
        <f> -24323782 + 12195*2031 - 18.9*8459</f>
        <v>284387.9</v>
      </c>
      <c r="D8" s="20" t="s">
        <v>92</v>
      </c>
      <c r="E8" s="56">
        <v>179750.30000000002</v>
      </c>
    </row>
    <row r="9">
      <c r="A9" s="58" t="s">
        <v>159</v>
      </c>
      <c r="B9" s="59">
        <f> -25905300 + 13002*2031 - 75.4*2889</f>
        <v>283931.4</v>
      </c>
      <c r="D9" s="60" t="s">
        <v>159</v>
      </c>
      <c r="E9" s="56">
        <v>161677.59999999998</v>
      </c>
    </row>
    <row r="10">
      <c r="A10" s="58" t="s">
        <v>270</v>
      </c>
      <c r="B10" s="59">
        <f> -24833475 + 12411*2031 - 20.6*4592</f>
        <v>278670.8</v>
      </c>
      <c r="D10" s="20" t="s">
        <v>271</v>
      </c>
      <c r="E10" s="56">
        <v>161509.1</v>
      </c>
    </row>
    <row r="11">
      <c r="A11" s="58" t="s">
        <v>272</v>
      </c>
      <c r="B11" s="59">
        <f> -24588435 + 12266*2031 - 10.7*4250</f>
        <v>278336</v>
      </c>
      <c r="D11" s="60" t="s">
        <v>272</v>
      </c>
      <c r="E11" s="56">
        <v>156553.4</v>
      </c>
    </row>
    <row r="12">
      <c r="A12" s="54" t="s">
        <v>213</v>
      </c>
      <c r="B12" s="59">
        <f>-23222524 + 10932 *2031+ 250.2 *5157</f>
        <v>270649.4</v>
      </c>
      <c r="D12" s="20" t="s">
        <v>213</v>
      </c>
      <c r="E12" s="56">
        <v>156075.19999999995</v>
      </c>
    </row>
    <row r="13">
      <c r="A13" s="54" t="s">
        <v>271</v>
      </c>
      <c r="B13" s="59">
        <f> -21165360 + 10538*2031 + 5.59*5751</f>
        <v>269466.09</v>
      </c>
      <c r="D13" s="60" t="s">
        <v>270</v>
      </c>
      <c r="E13" s="56">
        <v>154849.2</v>
      </c>
    </row>
    <row r="14">
      <c r="A14" s="54" t="s">
        <v>265</v>
      </c>
      <c r="B14" s="59">
        <f> -17640973 + 8781*2031 + 3.15*12208</f>
        <v>231693.2</v>
      </c>
      <c r="D14" s="60" t="s">
        <v>16</v>
      </c>
      <c r="E14" s="56">
        <v>138923.61</v>
      </c>
    </row>
    <row r="15">
      <c r="A15" s="54" t="s">
        <v>25</v>
      </c>
      <c r="B15" s="59">
        <f>-21960294 + 10935*2031 -0.521*40406</f>
        <v>227639.474</v>
      </c>
      <c r="D15" s="20" t="s">
        <v>265</v>
      </c>
      <c r="E15" s="56">
        <v>137674.55</v>
      </c>
    </row>
    <row r="16">
      <c r="A16" s="58" t="s">
        <v>16</v>
      </c>
      <c r="B16" s="61">
        <f> -14992467 + 7495*2031 - 1.79*9001</f>
        <v>213766.21</v>
      </c>
      <c r="D16" s="60" t="s">
        <v>273</v>
      </c>
      <c r="E16" s="56">
        <v>131374.6</v>
      </c>
    </row>
    <row r="17">
      <c r="A17" s="54" t="s">
        <v>97</v>
      </c>
      <c r="B17" s="59">
        <f> -17226044 + 8722*2031 - 51.3*5441</f>
        <v>209214.7</v>
      </c>
      <c r="D17" s="20" t="s">
        <v>97</v>
      </c>
      <c r="E17" s="56">
        <v>130151.40000000002</v>
      </c>
    </row>
    <row r="18">
      <c r="A18" s="54" t="s">
        <v>217</v>
      </c>
      <c r="B18" s="59">
        <f>-15595173 + 7798 *2031- 2.97 *14770</f>
        <v>198698.1</v>
      </c>
      <c r="D18" s="20" t="s">
        <v>43</v>
      </c>
      <c r="E18" s="56">
        <v>127190.22</v>
      </c>
    </row>
    <row r="19">
      <c r="A19" s="58" t="s">
        <v>167</v>
      </c>
      <c r="B19" s="59">
        <f> -14113146 + 6990*2031 + 42*2718</f>
        <v>197700</v>
      </c>
      <c r="D19" s="60" t="s">
        <v>167</v>
      </c>
      <c r="E19" s="56">
        <v>127086.0</v>
      </c>
    </row>
    <row r="20">
      <c r="A20" s="54" t="s">
        <v>122</v>
      </c>
      <c r="B20" s="59">
        <f>-15698062 + 7815*2031 + 0.82  *27871</f>
        <v>197057.22</v>
      </c>
      <c r="D20" s="20" t="s">
        <v>217</v>
      </c>
      <c r="E20" s="56">
        <v>125072.12</v>
      </c>
    </row>
    <row r="21">
      <c r="A21" s="58" t="s">
        <v>273</v>
      </c>
      <c r="B21" s="59">
        <f> -13174217 + 6707*2031 - 53.8*4682</f>
        <v>195808.4</v>
      </c>
      <c r="D21" s="60" t="s">
        <v>274</v>
      </c>
      <c r="E21" s="56">
        <v>124500.2</v>
      </c>
    </row>
    <row r="22">
      <c r="A22" s="58" t="s">
        <v>257</v>
      </c>
      <c r="B22" s="59">
        <f> -16748998 + 8373*2031 - 6.6*9240</f>
        <v>195581</v>
      </c>
      <c r="D22" s="60" t="s">
        <v>275</v>
      </c>
      <c r="E22" s="56">
        <v>120380.0</v>
      </c>
    </row>
    <row r="23">
      <c r="A23" s="58" t="s">
        <v>275</v>
      </c>
      <c r="B23" s="59">
        <f> -14981424 + 7576*2031 - 65.2*3226</f>
        <v>195096.8</v>
      </c>
      <c r="D23" s="60" t="s">
        <v>276</v>
      </c>
      <c r="E23" s="56">
        <v>119836.54000000074</v>
      </c>
    </row>
    <row r="24">
      <c r="A24" s="54" t="s">
        <v>55</v>
      </c>
      <c r="B24" s="61">
        <f> -15278437 + 7842*2031 - 131.6*3447</f>
        <v>195039.8</v>
      </c>
      <c r="D24" s="20" t="s">
        <v>55</v>
      </c>
      <c r="E24" s="56">
        <v>117804.20000000001</v>
      </c>
    </row>
    <row r="25">
      <c r="A25" s="58" t="s">
        <v>274</v>
      </c>
      <c r="B25" s="59">
        <f> -13669410 + 6875*2031 - 24.8*4056</f>
        <v>193126.2</v>
      </c>
      <c r="D25" s="20" t="s">
        <v>122</v>
      </c>
      <c r="E25" s="56">
        <v>117272.95999999999</v>
      </c>
    </row>
    <row r="26">
      <c r="A26" s="58" t="s">
        <v>276</v>
      </c>
      <c r="B26" s="61">
        <f> -13298573 + 6629.3*2031 + 2.78*7452</f>
        <v>186251.86</v>
      </c>
      <c r="D26" s="60" t="s">
        <v>257</v>
      </c>
      <c r="E26" s="56">
        <v>115322.6</v>
      </c>
    </row>
    <row r="27">
      <c r="A27" s="54" t="s">
        <v>43</v>
      </c>
      <c r="B27" s="59">
        <f> -11521638 + 5776*2031 - 4.57*5560</f>
        <v>184008.8</v>
      </c>
      <c r="D27" s="57" t="s">
        <v>52</v>
      </c>
      <c r="E27" s="56">
        <v>106359.48000000001</v>
      </c>
    </row>
    <row r="28">
      <c r="A28" s="58" t="s">
        <v>58</v>
      </c>
      <c r="B28" s="59">
        <f>        -14098648 + 6978*2031 + 31*3177</f>
        <v>172157</v>
      </c>
      <c r="D28" s="20" t="s">
        <v>155</v>
      </c>
      <c r="E28" s="56">
        <v>105606.4</v>
      </c>
    </row>
    <row r="29">
      <c r="A29" s="54" t="s">
        <v>52</v>
      </c>
      <c r="B29" s="59">
        <f>-18092862 + 9031*2031- 2.86*26971 </f>
        <v>171961.94</v>
      </c>
      <c r="D29" s="57" t="s">
        <v>25</v>
      </c>
      <c r="E29" s="56">
        <v>105058.679</v>
      </c>
    </row>
    <row r="30">
      <c r="A30" s="54" t="s">
        <v>153</v>
      </c>
      <c r="B30" s="61">
        <f> -16062816 + 7956*2031 + 34*2173</f>
        <v>169702</v>
      </c>
      <c r="D30" s="60" t="s">
        <v>194</v>
      </c>
      <c r="E30" s="56">
        <v>104233.9</v>
      </c>
    </row>
    <row r="31">
      <c r="A31" s="54" t="s">
        <v>148</v>
      </c>
      <c r="B31" s="59">
        <f> -13345296 + 6644*2031 + 5.2*3615</f>
        <v>167466</v>
      </c>
      <c r="D31" s="60" t="s">
        <v>58</v>
      </c>
      <c r="E31" s="56">
        <v>102563.0</v>
      </c>
    </row>
    <row r="32">
      <c r="A32" s="58" t="s">
        <v>277</v>
      </c>
      <c r="B32" s="59">
        <f> -12080540 + 6072*2031 - 18.1*4885</f>
        <v>163273.5</v>
      </c>
      <c r="D32" s="60" t="s">
        <v>277</v>
      </c>
      <c r="E32" s="56">
        <v>102499.2</v>
      </c>
    </row>
    <row r="33">
      <c r="A33" s="54" t="s">
        <v>278</v>
      </c>
      <c r="B33" s="59">
        <f> -14373779 + 7186*2031 - 1.127*51373</f>
        <v>163089.629</v>
      </c>
      <c r="D33" s="20" t="s">
        <v>148</v>
      </c>
      <c r="E33" s="56">
        <v>100974.0</v>
      </c>
    </row>
    <row r="34">
      <c r="A34" s="58" t="s">
        <v>194</v>
      </c>
      <c r="B34" s="59">
        <f> -11608796 + 5832*2031 - 15.9*4601</f>
        <v>162840.1</v>
      </c>
      <c r="D34" s="20" t="s">
        <v>216</v>
      </c>
      <c r="E34" s="56">
        <v>98525.84000000003</v>
      </c>
    </row>
    <row r="35">
      <c r="A35" s="54" t="s">
        <v>144</v>
      </c>
      <c r="B35" s="61">
        <f> -13949970 + 7025*2031 - 54.6*2877</f>
        <v>160720.8</v>
      </c>
      <c r="D35" s="60" t="s">
        <v>186</v>
      </c>
      <c r="E35" s="56">
        <v>96958.1</v>
      </c>
    </row>
    <row r="36">
      <c r="A36" s="54" t="s">
        <v>150</v>
      </c>
      <c r="B36" s="59">
        <f> -13135721 + 6573*2031 - 16.5*3263</f>
        <v>160202.5</v>
      </c>
      <c r="D36" s="60" t="s">
        <v>260</v>
      </c>
      <c r="E36" s="56">
        <v>95914.28</v>
      </c>
    </row>
    <row r="37">
      <c r="A37" s="58" t="s">
        <v>279</v>
      </c>
      <c r="B37" s="59">
        <f> -14166525 + 7145*2031 - 53.8*3494</f>
        <v>156992.8</v>
      </c>
      <c r="D37" s="20" t="s">
        <v>150</v>
      </c>
      <c r="E37" s="56">
        <v>94357.0</v>
      </c>
    </row>
    <row r="38">
      <c r="A38" s="58" t="s">
        <v>280</v>
      </c>
      <c r="B38" s="59">
        <f> -12203904 + 6359*2031 - 176.2*3152</f>
        <v>155842.6</v>
      </c>
      <c r="D38" s="60" t="s">
        <v>262</v>
      </c>
      <c r="E38" s="56">
        <v>93872.4</v>
      </c>
    </row>
    <row r="39">
      <c r="A39" s="54" t="s">
        <v>155</v>
      </c>
      <c r="B39" s="59">
        <f>-9649864 + 4808*2031+ 12.8*3005</f>
        <v>153648</v>
      </c>
      <c r="D39" s="57" t="s">
        <v>34</v>
      </c>
      <c r="E39" s="56">
        <v>92889.92</v>
      </c>
    </row>
    <row r="40">
      <c r="A40" s="54" t="s">
        <v>216</v>
      </c>
      <c r="B40" s="59">
        <f> -10286146 + 5000*2031 + 35.17 *8071</f>
        <v>152711.07</v>
      </c>
      <c r="D40" s="20" t="s">
        <v>144</v>
      </c>
      <c r="E40" s="56">
        <v>92491.0</v>
      </c>
    </row>
    <row r="41">
      <c r="A41" s="58" t="s">
        <v>281</v>
      </c>
      <c r="B41" s="59">
        <f> -12716737 + 6115 *2031+ 83.6 *5344</f>
        <v>149586.4</v>
      </c>
      <c r="D41" s="60" t="s">
        <v>280</v>
      </c>
      <c r="E41" s="56">
        <v>92252.6000000001</v>
      </c>
    </row>
    <row r="42">
      <c r="A42" s="58" t="s">
        <v>190</v>
      </c>
      <c r="B42" s="59">
        <f> -11722875 + 6073*2031 - 123*3765</f>
        <v>148293</v>
      </c>
      <c r="D42" s="20" t="s">
        <v>278</v>
      </c>
      <c r="E42" s="56">
        <v>91382.901</v>
      </c>
    </row>
    <row r="43">
      <c r="A43" s="58" t="s">
        <v>174</v>
      </c>
      <c r="B43" s="59">
        <f> -12683256 + 6398*2031 - 53.9*3029</f>
        <v>147818.9</v>
      </c>
      <c r="D43" s="60" t="s">
        <v>190</v>
      </c>
      <c r="E43" s="56">
        <v>89777.0</v>
      </c>
    </row>
    <row r="44">
      <c r="A44" s="54" t="s">
        <v>34</v>
      </c>
      <c r="B44" s="59">
        <f> -17552425 + 8746*2031 - 1.52*41688</f>
        <v>147335.24</v>
      </c>
      <c r="D44" s="60" t="s">
        <v>197</v>
      </c>
      <c r="E44" s="56">
        <v>89729.2</v>
      </c>
    </row>
    <row r="45">
      <c r="A45" s="54" t="s">
        <v>228</v>
      </c>
      <c r="B45" s="59">
        <f>-12500770 + 6258 *2031- 9.4  *6628</f>
        <v>146924.8</v>
      </c>
      <c r="D45" s="20" t="s">
        <v>153</v>
      </c>
      <c r="E45" s="56">
        <v>89394.0</v>
      </c>
    </row>
    <row r="46">
      <c r="A46" s="58" t="s">
        <v>282</v>
      </c>
      <c r="B46" s="59">
        <f> -12618379 + 6542*2031 - 151*3460</f>
        <v>145963</v>
      </c>
      <c r="D46" s="57" t="s">
        <v>228</v>
      </c>
      <c r="E46" s="56">
        <v>89214.0</v>
      </c>
    </row>
    <row r="47">
      <c r="A47" s="58" t="s">
        <v>260</v>
      </c>
      <c r="B47" s="59">
        <f> -10743275 + 5396*2031 - 9.92*7211</f>
        <v>144467.88</v>
      </c>
      <c r="D47" s="20" t="s">
        <v>210</v>
      </c>
      <c r="E47" s="56">
        <v>88075.19999999998</v>
      </c>
    </row>
    <row r="48">
      <c r="A48" s="54" t="s">
        <v>210</v>
      </c>
      <c r="B48" s="59">
        <f> -11798977 + 5961 *2031- 17.8 *9196</f>
        <v>144125.2</v>
      </c>
      <c r="D48" s="60" t="s">
        <v>279</v>
      </c>
      <c r="E48" s="56">
        <v>87425.80000000002</v>
      </c>
    </row>
    <row r="49">
      <c r="A49" s="58" t="s">
        <v>262</v>
      </c>
      <c r="B49" s="59">
        <f> -11229596 + 5608*2031 - 0.6*26994</f>
        <v>144055.6</v>
      </c>
      <c r="D49" s="60" t="s">
        <v>282</v>
      </c>
      <c r="E49" s="56">
        <v>86583.0</v>
      </c>
    </row>
    <row r="50">
      <c r="A50" s="58" t="s">
        <v>186</v>
      </c>
      <c r="B50" s="59">
        <f> -9096601 + 4556*2031 - 2.45*5790</f>
        <v>142449.5</v>
      </c>
      <c r="D50" s="60" t="s">
        <v>283</v>
      </c>
      <c r="E50" s="56">
        <v>85871.2</v>
      </c>
    </row>
    <row r="51">
      <c r="A51" s="54" t="s">
        <v>229</v>
      </c>
      <c r="B51" s="59">
        <f> -13923616 + 6952*2031 - 5.69*9479</f>
        <v>141960.49</v>
      </c>
      <c r="D51" s="20" t="s">
        <v>284</v>
      </c>
      <c r="E51" s="56">
        <v>84424.40000000001</v>
      </c>
    </row>
    <row r="52">
      <c r="A52" s="58" t="s">
        <v>197</v>
      </c>
      <c r="B52" s="61">
        <f> -8787908 + 4428*2031 - 22.2*3212</f>
        <v>134053.6</v>
      </c>
      <c r="D52" s="60" t="s">
        <v>285</v>
      </c>
      <c r="E52" s="56">
        <v>84140.0</v>
      </c>
    </row>
    <row r="53">
      <c r="A53" s="54" t="s">
        <v>157</v>
      </c>
      <c r="B53" s="61">
        <f> -10001247 + 5037.9*2031 - 31.77*3058</f>
        <v>133575.24</v>
      </c>
      <c r="D53" s="60" t="s">
        <v>174</v>
      </c>
      <c r="E53" s="56">
        <v>84108.4</v>
      </c>
    </row>
    <row r="54">
      <c r="A54" s="58" t="s">
        <v>283</v>
      </c>
      <c r="B54" s="59">
        <f> -9387128 + 4677*2031+ 2.85 *7512</f>
        <v>133268.2</v>
      </c>
      <c r="D54" s="57" t="s">
        <v>286</v>
      </c>
      <c r="E54" s="56">
        <f> -10468336 + 5230*2021 - 2.6*6809</f>
        <v>83790.6</v>
      </c>
    </row>
    <row r="55">
      <c r="A55" s="54" t="s">
        <v>286</v>
      </c>
      <c r="B55" s="59">
        <f> -10468336 + 5230 *2031 - 2.6*7978</f>
        <v>133051.2</v>
      </c>
      <c r="D55" s="20" t="s">
        <v>157</v>
      </c>
      <c r="E55" s="56">
        <v>83037.38999999852</v>
      </c>
    </row>
    <row r="56">
      <c r="A56" s="54" t="s">
        <v>287</v>
      </c>
      <c r="B56" s="59">
        <f>-11665733 + 5869 *2031 - 31*3927</f>
        <v>132469</v>
      </c>
      <c r="D56" s="20" t="s">
        <v>288</v>
      </c>
      <c r="E56" s="56">
        <v>82589.46449999926</v>
      </c>
    </row>
    <row r="57">
      <c r="A57" s="54" t="s">
        <v>38</v>
      </c>
      <c r="B57" s="61">
        <f> -10731468 + 5742*2031 - 422*1892</f>
        <v>132110</v>
      </c>
      <c r="D57" s="20" t="s">
        <v>229</v>
      </c>
      <c r="E57" s="56">
        <v>81834.68</v>
      </c>
    </row>
    <row r="58">
      <c r="A58" s="54" t="s">
        <v>284</v>
      </c>
      <c r="B58" s="61">
        <f> -9381792 + 4734*2031 - 13.6*7540</f>
        <v>130418</v>
      </c>
      <c r="D58" s="57" t="s">
        <v>289</v>
      </c>
      <c r="E58" s="56">
        <v>81500.18</v>
      </c>
    </row>
    <row r="59">
      <c r="A59" s="58" t="s">
        <v>15</v>
      </c>
      <c r="B59" s="62">
        <v>128341.0</v>
      </c>
      <c r="D59" s="60" t="s">
        <v>204</v>
      </c>
      <c r="E59" s="56">
        <v>78966.20000000001</v>
      </c>
    </row>
    <row r="60">
      <c r="A60" s="58" t="s">
        <v>204</v>
      </c>
      <c r="B60" s="59">
        <f>-10019834 + 5018*2031 - 5.8 *7813</f>
        <v>126408.6</v>
      </c>
      <c r="D60" s="20" t="s">
        <v>38</v>
      </c>
      <c r="E60" s="56">
        <v>76378.0</v>
      </c>
    </row>
    <row r="61">
      <c r="A61" s="54" t="s">
        <v>290</v>
      </c>
      <c r="B61" s="59">
        <f>-10749322 + 5338 *2031+ 7.5 *4453</f>
        <v>125553.5</v>
      </c>
      <c r="D61" s="60" t="s">
        <v>281</v>
      </c>
      <c r="E61" s="56">
        <v>75227.59999999998</v>
      </c>
    </row>
    <row r="62">
      <c r="A62" s="54" t="s">
        <v>288</v>
      </c>
      <c r="B62" s="59">
        <f> -8413495 + 4202.2*2031 + 0.2683*14968</f>
        <v>125189.1144</v>
      </c>
      <c r="D62" s="20" t="s">
        <v>287</v>
      </c>
      <c r="E62" s="56">
        <v>74678.0</v>
      </c>
    </row>
    <row r="63">
      <c r="A63" s="58" t="s">
        <v>285</v>
      </c>
      <c r="B63" s="59">
        <f> -8538355 + 4359 *2031 - 39 *4905</f>
        <v>123479</v>
      </c>
      <c r="D63" s="20" t="s">
        <v>137</v>
      </c>
      <c r="E63" s="56">
        <v>74310.0</v>
      </c>
    </row>
    <row r="64">
      <c r="A64" s="58" t="s">
        <v>259</v>
      </c>
      <c r="B64" s="59">
        <f> -10456557 + 5011*2031 + 175*2301</f>
        <v>123459</v>
      </c>
      <c r="D64" s="60" t="s">
        <v>211</v>
      </c>
      <c r="E64" s="56">
        <v>74033.01999999999</v>
      </c>
    </row>
    <row r="65">
      <c r="A65" s="54" t="s">
        <v>18</v>
      </c>
      <c r="B65" s="62">
        <v>123157.0</v>
      </c>
      <c r="D65" s="20" t="s">
        <v>18</v>
      </c>
      <c r="E65" s="63">
        <v>73916.7</v>
      </c>
    </row>
    <row r="66">
      <c r="A66" s="54" t="s">
        <v>289</v>
      </c>
      <c r="B66" s="59">
        <f>-6893297 + 3417 *2031+ 10.34*7327</f>
        <v>122391.18</v>
      </c>
      <c r="D66" s="60" t="s">
        <v>199</v>
      </c>
      <c r="E66" s="56">
        <v>73708.8</v>
      </c>
    </row>
    <row r="67">
      <c r="A67" s="58" t="s">
        <v>202</v>
      </c>
      <c r="B67" s="59">
        <f> -11199178 + 5627 *2031- 14.73 *7260</f>
        <v>122319.2</v>
      </c>
      <c r="D67" s="20" t="s">
        <v>139</v>
      </c>
      <c r="E67" s="56">
        <v>73527.35999999926</v>
      </c>
    </row>
    <row r="68">
      <c r="A68" s="58" t="s">
        <v>211</v>
      </c>
      <c r="B68" s="59">
        <f>-9357541 + 4684 *2031- 6.42 *5441</f>
        <v>120731.78</v>
      </c>
      <c r="D68" s="57" t="s">
        <v>178</v>
      </c>
      <c r="E68" s="56">
        <v>73078.0</v>
      </c>
    </row>
    <row r="69">
      <c r="A69" s="54" t="s">
        <v>291</v>
      </c>
      <c r="B69" s="59">
        <f>-10083461 + 5039 *2031 - 5.9  *5363</f>
        <v>119106.3</v>
      </c>
      <c r="D69" s="60" t="s">
        <v>258</v>
      </c>
      <c r="E69" s="56">
        <v>72339.4</v>
      </c>
    </row>
    <row r="70">
      <c r="A70" s="64" t="s">
        <v>292</v>
      </c>
      <c r="B70" s="59">
        <f> -9831936 + 4896 *2031 +0.074 *94590</f>
        <v>118839.66</v>
      </c>
      <c r="D70" s="20" t="s">
        <v>290</v>
      </c>
      <c r="E70" s="56">
        <f> -10749322 + 5338*2021 + 7.5 *4446</f>
        <v>72121</v>
      </c>
    </row>
    <row r="71">
      <c r="A71" s="54" t="s">
        <v>178</v>
      </c>
      <c r="B71" s="59">
        <f>-8671224 + 4312 *2031+ 5 *6057</f>
        <v>116733</v>
      </c>
      <c r="D71" s="60" t="s">
        <v>202</v>
      </c>
      <c r="E71" s="56">
        <v>70586.04</v>
      </c>
    </row>
    <row r="72">
      <c r="A72" s="54" t="s">
        <v>139</v>
      </c>
      <c r="B72" s="59">
        <f> -8214035 + 4053.7*2031 + 12.82*7419</f>
        <v>114141.28</v>
      </c>
      <c r="D72" s="57" t="s">
        <v>291</v>
      </c>
      <c r="E72" s="56">
        <v>70032.0</v>
      </c>
    </row>
    <row r="73">
      <c r="A73" s="54" t="s">
        <v>137</v>
      </c>
      <c r="B73" s="59">
        <f> -7109529 + 3603*2031 - 24*4085</f>
        <v>110124</v>
      </c>
      <c r="D73" s="20" t="s">
        <v>293</v>
      </c>
      <c r="E73" s="56">
        <v>69069.0</v>
      </c>
    </row>
    <row r="74">
      <c r="A74" s="58" t="s">
        <v>258</v>
      </c>
      <c r="B74" s="61">
        <f> -5847917 + 2892*2031 + 5.04*16302</f>
        <v>107897.08</v>
      </c>
      <c r="D74" s="60" t="s">
        <v>15</v>
      </c>
      <c r="E74" s="56">
        <v>69041.36</v>
      </c>
    </row>
    <row r="75">
      <c r="A75" s="58" t="s">
        <v>200</v>
      </c>
      <c r="B75" s="59">
        <f> -7827931 + 4016*2031 - 62*3571</f>
        <v>107163</v>
      </c>
      <c r="D75" s="60" t="s">
        <v>200</v>
      </c>
      <c r="E75" s="56">
        <v>68119.0</v>
      </c>
    </row>
    <row r="76">
      <c r="A76" s="54" t="s">
        <v>147</v>
      </c>
      <c r="B76" s="59">
        <f> -7529118 + 4002*2031 - 173.9*2829</f>
        <v>106980.9</v>
      </c>
      <c r="D76" s="60" t="s">
        <v>259</v>
      </c>
      <c r="E76" s="56">
        <v>68099.0</v>
      </c>
    </row>
    <row r="77">
      <c r="A77" s="54" t="s">
        <v>243</v>
      </c>
      <c r="B77" s="59">
        <f> -11645354 + 5837*2031 - 10.28*10038</f>
        <v>106402.36</v>
      </c>
      <c r="D77" s="60" t="s">
        <v>221</v>
      </c>
      <c r="E77" s="56">
        <v>67911.84</v>
      </c>
    </row>
    <row r="78">
      <c r="A78" s="58" t="s">
        <v>199</v>
      </c>
      <c r="B78" s="59">
        <f>-6877260 + 3482 *2031 - 11.6 *7613</f>
        <v>106371.2</v>
      </c>
      <c r="D78" s="65" t="s">
        <v>292</v>
      </c>
      <c r="E78" s="56">
        <v>67286.552</v>
      </c>
    </row>
    <row r="79">
      <c r="A79" s="54" t="s">
        <v>76</v>
      </c>
      <c r="B79" s="59">
        <f>-9999377 + 4982 *2031- 0.436 *30197</f>
        <v>105899.108</v>
      </c>
      <c r="D79" s="20" t="s">
        <v>147</v>
      </c>
      <c r="E79" s="56">
        <v>67134.79999999999</v>
      </c>
    </row>
    <row r="80">
      <c r="A80" s="54" t="s">
        <v>42</v>
      </c>
      <c r="B80" s="59">
        <f>-8960943 + 4466*2031- 0.091*73212</f>
        <v>102840.708</v>
      </c>
      <c r="D80" s="60" t="s">
        <v>193</v>
      </c>
      <c r="E80" s="56">
        <v>66982.58</v>
      </c>
    </row>
    <row r="81">
      <c r="A81" s="54" t="s">
        <v>293</v>
      </c>
      <c r="B81" s="59">
        <f> -6663540 + 3345*2031 - 7*3942</f>
        <v>102561</v>
      </c>
      <c r="D81" s="20" t="s">
        <v>294</v>
      </c>
      <c r="E81" s="56">
        <v>65198.95</v>
      </c>
    </row>
    <row r="82">
      <c r="A82" s="54" t="s">
        <v>295</v>
      </c>
      <c r="B82" s="59">
        <f> -7674346 + 3891*2031 - 22*5752</f>
        <v>101731</v>
      </c>
      <c r="D82" s="60" t="s">
        <v>224</v>
      </c>
      <c r="E82" s="56">
        <v>65166.5</v>
      </c>
    </row>
    <row r="83">
      <c r="A83" s="54" t="s">
        <v>294</v>
      </c>
      <c r="B83" s="59">
        <f>-7209243 + 3604 *2031- 1.31 *7136</f>
        <v>101132.84</v>
      </c>
      <c r="D83" s="60" t="s">
        <v>253</v>
      </c>
      <c r="E83" s="56">
        <v>64551.46000000001</v>
      </c>
    </row>
    <row r="84">
      <c r="A84" s="64" t="s">
        <v>296</v>
      </c>
      <c r="B84" s="59">
        <f> -8768967 + 4371 *2031 -0.234 *32666</f>
        <v>100890.156</v>
      </c>
      <c r="D84" s="20" t="s">
        <v>218</v>
      </c>
      <c r="E84" s="56">
        <v>63998.6</v>
      </c>
    </row>
    <row r="85">
      <c r="A85" s="58" t="s">
        <v>224</v>
      </c>
      <c r="B85" s="59">
        <f>-6853496 + 3369 *2031+ 19.3 *5798</f>
        <v>100844.4</v>
      </c>
      <c r="D85" s="60" t="s">
        <v>225</v>
      </c>
      <c r="E85" s="56">
        <v>63241.21</v>
      </c>
    </row>
    <row r="86">
      <c r="A86" s="54" t="s">
        <v>26</v>
      </c>
      <c r="B86" s="59">
        <f>-10947697 + 5479 *2031- 1.67*47934</f>
        <v>100102.22</v>
      </c>
      <c r="D86" s="66" t="s">
        <v>246</v>
      </c>
      <c r="E86" s="56">
        <v>63115.520000000004</v>
      </c>
    </row>
    <row r="87">
      <c r="A87" s="58" t="s">
        <v>225</v>
      </c>
      <c r="B87" s="59">
        <f>-7445927 + 3727 *2031 - 3.19 *7457</f>
        <v>99822.17</v>
      </c>
      <c r="D87" s="57" t="s">
        <v>104</v>
      </c>
      <c r="E87" s="56">
        <v>62600.2</v>
      </c>
    </row>
    <row r="88">
      <c r="A88" s="54" t="s">
        <v>297</v>
      </c>
      <c r="B88" s="59">
        <f> -7863155 + 3918*2031 + 1.2*4244</f>
        <v>99395.8</v>
      </c>
      <c r="D88" s="20" t="s">
        <v>295</v>
      </c>
      <c r="E88" s="56">
        <v>62271.0</v>
      </c>
    </row>
    <row r="89">
      <c r="A89" s="58" t="s">
        <v>130</v>
      </c>
      <c r="B89" s="59">
        <f> -7234052 + 3534 *2031+ 10.39*14953</f>
        <v>98863.67</v>
      </c>
      <c r="D89" s="57" t="s">
        <v>44</v>
      </c>
      <c r="E89" s="56">
        <v>61184.2</v>
      </c>
    </row>
    <row r="90">
      <c r="A90" s="54" t="s">
        <v>218</v>
      </c>
      <c r="B90" s="59">
        <f>-5691225 + 2824 *2031+ 8.7 *6220</f>
        <v>98433</v>
      </c>
      <c r="D90" s="57" t="s">
        <v>27</v>
      </c>
      <c r="E90" s="56">
        <v>60660.200000000004</v>
      </c>
    </row>
    <row r="91">
      <c r="A91" s="64" t="s">
        <v>298</v>
      </c>
      <c r="B91" s="59">
        <f> -6086131 + 3032 *2031 +0.157 *167724</f>
        <v>98193.668</v>
      </c>
      <c r="D91" s="60" t="s">
        <v>187</v>
      </c>
      <c r="E91" s="56">
        <v>60532.28</v>
      </c>
    </row>
    <row r="92">
      <c r="A92" s="54" t="s">
        <v>27</v>
      </c>
      <c r="B92" s="59">
        <f> -7191267 + 3572*2031 +0.8*42773</f>
        <v>97683.4</v>
      </c>
      <c r="D92" s="20" t="s">
        <v>297</v>
      </c>
      <c r="E92" s="56">
        <v>60227.8</v>
      </c>
    </row>
    <row r="93">
      <c r="A93" s="54" t="s">
        <v>299</v>
      </c>
      <c r="B93" s="59">
        <f>-7795684 + 3881 *2031+ 0.14 *50728 </f>
        <v>93728.92</v>
      </c>
      <c r="D93" s="60" t="s">
        <v>220</v>
      </c>
      <c r="E93" s="56">
        <v>59683.08</v>
      </c>
    </row>
    <row r="94">
      <c r="A94" s="54" t="s">
        <v>44</v>
      </c>
      <c r="B94" s="59">
        <f> -5895903 + 2929*2031 + 1.24*32538</f>
        <v>93243.12</v>
      </c>
      <c r="D94" s="60" t="s">
        <v>219</v>
      </c>
      <c r="E94" s="56">
        <v>59187.53</v>
      </c>
    </row>
    <row r="95">
      <c r="A95" s="64" t="s">
        <v>300</v>
      </c>
      <c r="B95" s="59">
        <f> -7132193 + 3557 *2031 +0.0128 *79357</f>
        <v>93089.7696</v>
      </c>
      <c r="D95" s="60" t="s">
        <v>263</v>
      </c>
      <c r="E95" s="56">
        <v>59159.0</v>
      </c>
    </row>
    <row r="96">
      <c r="A96" s="64" t="s">
        <v>301</v>
      </c>
      <c r="B96" s="59">
        <f> -7163761 + 3568.4 *2031 +0.255 *36683</f>
        <v>93013.565</v>
      </c>
      <c r="D96" s="57" t="s">
        <v>42</v>
      </c>
      <c r="E96" s="56">
        <v>58525.598</v>
      </c>
    </row>
    <row r="97">
      <c r="A97" s="64" t="s">
        <v>302</v>
      </c>
      <c r="B97" s="59">
        <f> -7186606 + 3584 *2031 +0.0318 *15159</f>
        <v>92980.0562</v>
      </c>
      <c r="D97" s="57" t="s">
        <v>243</v>
      </c>
      <c r="E97" s="56">
        <v>58312.36</v>
      </c>
    </row>
    <row r="98">
      <c r="A98" s="64" t="s">
        <v>303</v>
      </c>
      <c r="B98" s="59">
        <f> -7161190 + 3567.2 *2031 +0.543 *16911</f>
        <v>92975.873</v>
      </c>
      <c r="D98" s="65" t="s">
        <v>296</v>
      </c>
      <c r="E98" s="56">
        <v>58291.422</v>
      </c>
    </row>
    <row r="99">
      <c r="A99" s="64" t="s">
        <v>304</v>
      </c>
      <c r="B99" s="59">
        <f> -6708296 + 3342 *2031 +0.1018 *134203</f>
        <v>92967.8654</v>
      </c>
      <c r="D99" s="65" t="s">
        <v>304</v>
      </c>
      <c r="E99" s="56">
        <v>57390.6216</v>
      </c>
    </row>
    <row r="100">
      <c r="A100" s="64" t="s">
        <v>305</v>
      </c>
      <c r="B100" s="59">
        <f> -7016887 + 3498 *2031 +0.056 *96228</f>
        <v>92939.768</v>
      </c>
      <c r="D100" s="60" t="s">
        <v>152</v>
      </c>
      <c r="E100" s="56">
        <v>57315.399999999965</v>
      </c>
    </row>
    <row r="101">
      <c r="A101" s="58" t="s">
        <v>253</v>
      </c>
      <c r="B101" s="59">
        <f>-3478650 + 1736 *2031+ 4.98 *9040</f>
        <v>92185.2</v>
      </c>
      <c r="D101" s="65" t="s">
        <v>305</v>
      </c>
      <c r="E101" s="56">
        <v>57190.944</v>
      </c>
    </row>
    <row r="102">
      <c r="A102" s="54" t="s">
        <v>65</v>
      </c>
      <c r="B102" s="59">
        <f> -8937980 + 4643 *2031 - 56.9 *7034</f>
        <v>91718.4</v>
      </c>
      <c r="D102" s="65" t="s">
        <v>303</v>
      </c>
      <c r="E102" s="56">
        <v>57174.63899999925</v>
      </c>
    </row>
    <row r="103">
      <c r="A103" s="54" t="s">
        <v>70</v>
      </c>
      <c r="B103" s="59">
        <f>-2593300 + 1228 *2031+ 14.3 *13301 </f>
        <v>90972.3</v>
      </c>
      <c r="D103" s="65" t="s">
        <v>302</v>
      </c>
      <c r="E103" s="56">
        <v>57095.6634</v>
      </c>
    </row>
    <row r="104">
      <c r="A104" s="58" t="s">
        <v>221</v>
      </c>
      <c r="B104" s="59">
        <f> -4596740 + 2296*2031 + 5.72*4284</f>
        <v>90940.48</v>
      </c>
      <c r="D104" s="65" t="s">
        <v>301</v>
      </c>
      <c r="E104" s="56">
        <v>57074.82000000037</v>
      </c>
    </row>
    <row r="105">
      <c r="A105" s="54" t="s">
        <v>149</v>
      </c>
      <c r="B105" s="59">
        <f> -8463334 + 4194*2031 + 9.17*3926</f>
        <v>90681.42</v>
      </c>
      <c r="D105" s="65" t="s">
        <v>300</v>
      </c>
      <c r="E105" s="56">
        <v>56972.9152</v>
      </c>
    </row>
    <row r="106">
      <c r="A106" s="64" t="s">
        <v>70</v>
      </c>
      <c r="B106" s="59">
        <f> -9659780 + 4840 *2031 -0.771 *103444</f>
        <v>90504.676</v>
      </c>
      <c r="D106" s="57" t="s">
        <v>76</v>
      </c>
      <c r="E106" s="56">
        <v>56868.268</v>
      </c>
    </row>
    <row r="107">
      <c r="A107" s="54" t="s">
        <v>37</v>
      </c>
      <c r="B107" s="59">
        <f> -6752639 + 3366*2031 + 0.29*20655</f>
        <v>89696.95</v>
      </c>
      <c r="D107" s="60" t="s">
        <v>130</v>
      </c>
      <c r="E107" s="56">
        <v>56292.23000000001</v>
      </c>
    </row>
    <row r="108">
      <c r="A108" s="58" t="s">
        <v>120</v>
      </c>
      <c r="B108" s="59">
        <f> -7653580 + 3858.8 *2031- 20.04 *4702</f>
        <v>89414.72</v>
      </c>
      <c r="D108" s="65" t="s">
        <v>70</v>
      </c>
      <c r="E108" s="56">
        <v>55099.880999999994</v>
      </c>
    </row>
    <row r="109">
      <c r="A109" s="58" t="s">
        <v>152</v>
      </c>
      <c r="B109" s="59">
        <f> -6106778 + 3230*2031 - 187.3*1945</f>
        <v>89053.5</v>
      </c>
      <c r="D109" s="65" t="s">
        <v>306</v>
      </c>
      <c r="E109" s="56">
        <v>55080.768</v>
      </c>
    </row>
    <row r="110">
      <c r="A110" s="64" t="s">
        <v>307</v>
      </c>
      <c r="B110" s="59">
        <f> -6752530 + 3360 *2031 +0.201 *86617</f>
        <v>89040.017</v>
      </c>
      <c r="D110" s="57" t="s">
        <v>37</v>
      </c>
      <c r="E110" s="56">
        <v>54834.61</v>
      </c>
    </row>
    <row r="111">
      <c r="A111" s="58" t="s">
        <v>129</v>
      </c>
      <c r="B111" s="59">
        <f>-7586377 + 3775 *2031+ 1.2 *6940</f>
        <v>88976</v>
      </c>
      <c r="D111" s="57" t="s">
        <v>70</v>
      </c>
      <c r="E111" s="56">
        <v>54611.100000000006</v>
      </c>
    </row>
    <row r="112">
      <c r="A112" s="64" t="s">
        <v>308</v>
      </c>
      <c r="B112" s="59">
        <f> -10034482 + 5009 *2031 -0.463 *107746</f>
        <v>88910.602</v>
      </c>
      <c r="D112" s="65" t="s">
        <v>298</v>
      </c>
      <c r="E112" s="56">
        <v>54230.525</v>
      </c>
    </row>
    <row r="113">
      <c r="A113" s="54" t="s">
        <v>104</v>
      </c>
      <c r="B113" s="59">
        <f> -6842607 + 3434 *2031- 11.4*3773</f>
        <v>88834.8</v>
      </c>
      <c r="D113" s="57" t="s">
        <v>299</v>
      </c>
      <c r="E113" s="56">
        <v>54197.78</v>
      </c>
    </row>
    <row r="114">
      <c r="A114" s="58" t="s">
        <v>121</v>
      </c>
      <c r="B114" s="59">
        <f>-7427425 + 3703 *2031- 0.36 *12860</f>
        <v>88738.4</v>
      </c>
      <c r="D114" s="65" t="s">
        <v>307</v>
      </c>
      <c r="E114" s="56">
        <v>53830.208</v>
      </c>
    </row>
    <row r="115">
      <c r="A115" s="64" t="s">
        <v>309</v>
      </c>
      <c r="B115" s="59">
        <f> -5622925 + 2794 *2031 +0.311 *118671</f>
        <v>88595.681</v>
      </c>
      <c r="D115" s="65" t="s">
        <v>310</v>
      </c>
      <c r="E115" s="56">
        <v>53495.32</v>
      </c>
    </row>
    <row r="116">
      <c r="A116" s="58" t="s">
        <v>193</v>
      </c>
      <c r="B116" s="59">
        <f> -4247368 + 2188*2031 -18.02*5988</f>
        <v>88556.24</v>
      </c>
      <c r="D116" s="60" t="s">
        <v>172</v>
      </c>
      <c r="E116" s="56">
        <v>53278.0</v>
      </c>
    </row>
    <row r="117">
      <c r="A117" s="64" t="s">
        <v>306</v>
      </c>
      <c r="B117" s="59">
        <f> -6567126 + 3271 *2031 +0.088 *139248</f>
        <v>88528.824</v>
      </c>
      <c r="D117" s="65" t="s">
        <v>309</v>
      </c>
      <c r="E117" s="56">
        <v>53274.718</v>
      </c>
    </row>
    <row r="118">
      <c r="A118" s="54" t="s">
        <v>135</v>
      </c>
      <c r="B118" s="59">
        <f> -7117261 + 3548*2031 - 0.09*5817</f>
        <v>88203.47</v>
      </c>
      <c r="D118" s="20" t="s">
        <v>264</v>
      </c>
      <c r="E118" s="56">
        <v>53207.5</v>
      </c>
    </row>
    <row r="119">
      <c r="A119" s="54" t="s">
        <v>311</v>
      </c>
      <c r="B119" s="59">
        <f>-7116275 + 3622*2031 - 32.3*4725</f>
        <v>87389.5</v>
      </c>
      <c r="D119" s="20" t="s">
        <v>135</v>
      </c>
      <c r="E119" s="56">
        <v>52723.56</v>
      </c>
    </row>
    <row r="120">
      <c r="A120" s="64" t="s">
        <v>310</v>
      </c>
      <c r="B120" s="67">
        <f> -7524716 + 3753 *2031 -3.46 *3035</f>
        <v>87125.9</v>
      </c>
      <c r="D120" s="20" t="s">
        <v>312</v>
      </c>
      <c r="E120" s="68">
        <v>52562.0</v>
      </c>
    </row>
    <row r="121">
      <c r="A121" s="58" t="s">
        <v>172</v>
      </c>
      <c r="B121" s="59">
        <f> - 6647740 + 3352*2031 -21*3492</f>
        <v>86840</v>
      </c>
      <c r="D121" s="60" t="s">
        <v>121</v>
      </c>
      <c r="E121" s="56">
        <v>52390.6</v>
      </c>
    </row>
    <row r="122">
      <c r="A122" s="54" t="s">
        <v>313</v>
      </c>
      <c r="B122" s="59">
        <f> -7047086 + 3510*2031 + 1.4*3327</f>
        <v>86381.8</v>
      </c>
      <c r="D122" s="65" t="s">
        <v>308</v>
      </c>
      <c r="E122" s="56">
        <v>52209.636</v>
      </c>
    </row>
    <row r="123">
      <c r="A123" s="54" t="s">
        <v>264</v>
      </c>
      <c r="B123" s="59">
        <f> -6814645 + 3422*2031 - 14.5*3388</f>
        <v>86311</v>
      </c>
      <c r="D123" s="60" t="s">
        <v>120</v>
      </c>
      <c r="E123" s="56">
        <v>52069.200000000754</v>
      </c>
    </row>
    <row r="124">
      <c r="A124" s="58" t="s">
        <v>246</v>
      </c>
      <c r="B124" s="67">
        <f>-4537200 + 2212 *2031 + 6.21*21065</f>
        <v>86185.65</v>
      </c>
      <c r="D124" s="57" t="s">
        <v>26</v>
      </c>
      <c r="E124" s="68">
        <v>51940.45</v>
      </c>
    </row>
    <row r="125">
      <c r="A125" s="54" t="s">
        <v>110</v>
      </c>
      <c r="B125" s="59">
        <f>-7771869 + 3882 *2031- 0.71*37057</f>
        <v>86162.53</v>
      </c>
      <c r="D125" s="66" t="s">
        <v>98</v>
      </c>
      <c r="E125" s="56">
        <v>51326.5</v>
      </c>
    </row>
    <row r="126">
      <c r="A126" s="58" t="s">
        <v>219</v>
      </c>
      <c r="B126" s="67">
        <f> -5268673 + 2630*2031 +1.99*6314</f>
        <v>85421.86</v>
      </c>
      <c r="D126" s="20" t="s">
        <v>313</v>
      </c>
      <c r="E126" s="68">
        <v>51185.2</v>
      </c>
    </row>
    <row r="127">
      <c r="A127" s="58" t="s">
        <v>220</v>
      </c>
      <c r="B127" s="59">
        <f>-5085293 + 2532 *2031+ 7.76 *3600</f>
        <v>85135</v>
      </c>
      <c r="D127" s="20" t="s">
        <v>311</v>
      </c>
      <c r="E127" s="56">
        <v>51104.90000000002</v>
      </c>
    </row>
    <row r="128">
      <c r="A128" s="54" t="s">
        <v>83</v>
      </c>
      <c r="B128" s="59">
        <f>-7075883 + 3569 *2031- 22.7 *3905</f>
        <v>84112.5</v>
      </c>
      <c r="D128" s="60" t="s">
        <v>129</v>
      </c>
      <c r="E128" s="56">
        <v>51074.8</v>
      </c>
    </row>
    <row r="129">
      <c r="A129" s="54" t="s">
        <v>314</v>
      </c>
      <c r="B129" s="59">
        <f> -7360702 + 3675 *2031- 0.545 *36731</f>
        <v>83204.605</v>
      </c>
      <c r="D129" s="57" t="s">
        <v>231</v>
      </c>
      <c r="E129" s="56">
        <v>50977.59999999998</v>
      </c>
    </row>
    <row r="130">
      <c r="A130" s="54" t="s">
        <v>106</v>
      </c>
      <c r="B130" s="59">
        <f>-7679161 + 3818 *2031 + 0.74 *10355</f>
        <v>82859.7</v>
      </c>
      <c r="D130" s="60" t="s">
        <v>315</v>
      </c>
      <c r="E130" s="56">
        <v>50871.74000000019</v>
      </c>
    </row>
    <row r="131">
      <c r="A131" s="58" t="s">
        <v>263</v>
      </c>
      <c r="B131" s="59">
        <f> -4666202 + 2324*2031 + 9*3193</f>
        <v>82579</v>
      </c>
      <c r="D131" s="57" t="s">
        <v>57</v>
      </c>
      <c r="E131" s="56">
        <v>50321.46000000001</v>
      </c>
    </row>
    <row r="132">
      <c r="A132" s="54" t="s">
        <v>312</v>
      </c>
      <c r="B132" s="59">
        <f>-5859286 + 2984 *2031- 39.5 *3009</f>
        <v>82362.5</v>
      </c>
      <c r="D132" s="20" t="s">
        <v>142</v>
      </c>
      <c r="E132" s="56">
        <v>50119.0</v>
      </c>
    </row>
    <row r="133">
      <c r="A133" s="54" t="s">
        <v>68</v>
      </c>
      <c r="B133" s="59">
        <f>-7611767 + 3790 *2031- 0.033 *105976</f>
        <v>82225.792</v>
      </c>
      <c r="D133" s="60" t="s">
        <v>184</v>
      </c>
      <c r="E133" s="56">
        <v>49792.68000000018</v>
      </c>
    </row>
    <row r="134">
      <c r="A134" s="58" t="s">
        <v>98</v>
      </c>
      <c r="B134" s="59">
        <f> -5847089 + 3014*2031 - 25.7*7512</f>
        <v>81286.6</v>
      </c>
      <c r="D134" s="57" t="s">
        <v>29</v>
      </c>
      <c r="E134" s="56">
        <v>49725.200000000004</v>
      </c>
    </row>
    <row r="135">
      <c r="A135" s="58" t="s">
        <v>316</v>
      </c>
      <c r="B135" s="59">
        <f> -6331070 + 3135*2031 + 13.6*3251</f>
        <v>80328.6</v>
      </c>
      <c r="D135" s="60" t="s">
        <v>316</v>
      </c>
      <c r="E135" s="56">
        <v>48829.0</v>
      </c>
    </row>
    <row r="136">
      <c r="A136" s="54" t="s">
        <v>116</v>
      </c>
      <c r="B136" s="59">
        <f> -7364447 + 3684 *2031- 2.62  *14574</f>
        <v>79573.12</v>
      </c>
      <c r="D136" s="57" t="s">
        <v>110</v>
      </c>
      <c r="E136" s="56">
        <v>48789.51</v>
      </c>
    </row>
    <row r="137">
      <c r="A137" s="54" t="s">
        <v>29</v>
      </c>
      <c r="B137" s="59">
        <f> -6267944 + 3155*2031 -4.55*13323</f>
        <v>79241.35</v>
      </c>
      <c r="D137" s="60" t="s">
        <v>317</v>
      </c>
      <c r="E137" s="56">
        <v>48765.88</v>
      </c>
    </row>
    <row r="138">
      <c r="A138" s="54" t="s">
        <v>231</v>
      </c>
      <c r="B138" s="59">
        <f>-5388329 + 2821*2031 - 39.2  *6682</f>
        <v>79187.6</v>
      </c>
      <c r="D138" s="20" t="s">
        <v>149</v>
      </c>
      <c r="E138" s="56">
        <v>48750.59</v>
      </c>
    </row>
    <row r="139">
      <c r="A139" s="54" t="s">
        <v>318</v>
      </c>
      <c r="B139" s="67">
        <f>-6176555 + 3078 *2031+ 0.0285 *142664</f>
        <v>78928.924</v>
      </c>
      <c r="D139" s="57" t="s">
        <v>83</v>
      </c>
      <c r="E139" s="68">
        <v>48513.3</v>
      </c>
    </row>
    <row r="140">
      <c r="A140" s="58" t="s">
        <v>317</v>
      </c>
      <c r="B140" s="59">
        <f> -6211045 + 3112*2031 - 4.48*6842</f>
        <v>78774.84</v>
      </c>
      <c r="D140" s="65" t="s">
        <v>319</v>
      </c>
      <c r="E140" s="56">
        <v>47072.996</v>
      </c>
    </row>
    <row r="141">
      <c r="A141" s="58" t="s">
        <v>189</v>
      </c>
      <c r="B141" s="59">
        <f> -6210713 + 3175*2031 - 102*1559</f>
        <v>78694</v>
      </c>
      <c r="D141" s="57" t="s">
        <v>314</v>
      </c>
      <c r="E141" s="56">
        <v>46956.005</v>
      </c>
    </row>
    <row r="142">
      <c r="A142" s="64" t="s">
        <v>319</v>
      </c>
      <c r="B142" s="59">
        <f>-6122362 + 3049 *2031+0.052 *156525</f>
        <v>78296.3</v>
      </c>
      <c r="D142" s="57" t="s">
        <v>318</v>
      </c>
      <c r="E142" s="56">
        <v>46793.065</v>
      </c>
    </row>
    <row r="143">
      <c r="A143" s="58" t="s">
        <v>196</v>
      </c>
      <c r="B143" s="59">
        <f> -6620414 + 3309*2031 - 2.43*9241</f>
        <v>77709.37</v>
      </c>
      <c r="D143" s="57" t="s">
        <v>103</v>
      </c>
      <c r="E143" s="56">
        <v>46351.42</v>
      </c>
    </row>
    <row r="144">
      <c r="A144" s="54" t="s">
        <v>57</v>
      </c>
      <c r="B144" s="59">
        <f>-3975909 + 1974 *2031+ 0.686  *64311</f>
        <v>77402.346</v>
      </c>
      <c r="D144" s="20" t="s">
        <v>261</v>
      </c>
      <c r="E144" s="56">
        <v>46261.4</v>
      </c>
    </row>
    <row r="145">
      <c r="A145" s="54" t="s">
        <v>237</v>
      </c>
      <c r="B145" s="59">
        <f>-7449439 + 3751 *2031 - 13.39  *6893</f>
        <v>76544.73</v>
      </c>
      <c r="D145" s="57" t="s">
        <v>68</v>
      </c>
      <c r="E145" s="56">
        <v>46166.169</v>
      </c>
    </row>
    <row r="146">
      <c r="A146" s="58" t="s">
        <v>177</v>
      </c>
      <c r="B146" s="59">
        <f> -6651802 + 3539*2031 - 105.5*4363</f>
        <v>75610.5</v>
      </c>
      <c r="D146" s="60" t="s">
        <v>189</v>
      </c>
      <c r="E146" s="56">
        <v>45822.0</v>
      </c>
    </row>
    <row r="147">
      <c r="A147" s="58" t="s">
        <v>127</v>
      </c>
      <c r="B147" s="59">
        <f>-5634555 + 2803 *2031+ 0.56 *30791</f>
        <v>75580.96</v>
      </c>
      <c r="D147" s="60" t="s">
        <v>127</v>
      </c>
      <c r="E147" s="56">
        <v>45756.16</v>
      </c>
    </row>
    <row r="148">
      <c r="A148" s="54" t="s">
        <v>320</v>
      </c>
      <c r="B148" s="59">
        <f>-6836780 + 3811 *2031- 183.4 *4514</f>
        <v>75493.4</v>
      </c>
      <c r="D148" s="60" t="s">
        <v>164</v>
      </c>
      <c r="E148" s="56">
        <v>45632.3</v>
      </c>
    </row>
    <row r="149">
      <c r="A149" s="54" t="s">
        <v>142</v>
      </c>
      <c r="B149" s="61">
        <f> -4558311 + 2220*2031 + 32.5*3840</f>
        <v>75309</v>
      </c>
      <c r="D149" s="20" t="s">
        <v>116</v>
      </c>
      <c r="E149" s="56">
        <v>45465.78</v>
      </c>
    </row>
    <row r="150">
      <c r="A150" s="58" t="s">
        <v>164</v>
      </c>
      <c r="B150" s="59">
        <f> -6000104 + 2999*2031 - 9.3*1675</f>
        <v>75287.5</v>
      </c>
      <c r="D150" s="57" t="s">
        <v>65</v>
      </c>
      <c r="E150" s="56">
        <v>45345.29999999999</v>
      </c>
    </row>
    <row r="151">
      <c r="A151" s="58" t="s">
        <v>165</v>
      </c>
      <c r="B151" s="59">
        <f> -6152624 + 3070*2031 - 5.83*1340</f>
        <v>74733.8</v>
      </c>
      <c r="D151" s="20" t="s">
        <v>247</v>
      </c>
      <c r="E151" s="56">
        <v>45342.32</v>
      </c>
    </row>
    <row r="152">
      <c r="A152" s="54" t="s">
        <v>103</v>
      </c>
      <c r="B152" s="59">
        <f>-5639124 + 2801*2031 + 1.26 *19594</f>
        <v>74395.44</v>
      </c>
      <c r="D152" s="60" t="s">
        <v>196</v>
      </c>
      <c r="E152" s="56">
        <v>45066.49</v>
      </c>
    </row>
    <row r="153">
      <c r="A153" s="54" t="s">
        <v>99</v>
      </c>
      <c r="B153" s="59">
        <f>-6358407 + 3178 *2031- 0.9 *24135</f>
        <v>74389.5</v>
      </c>
      <c r="D153" s="57" t="s">
        <v>255</v>
      </c>
      <c r="E153" s="56">
        <v>44747.5</v>
      </c>
    </row>
    <row r="154">
      <c r="A154" s="64" t="s">
        <v>321</v>
      </c>
      <c r="B154" s="59">
        <f>-6022127 + 3025 *2031 -0.933 *51373</f>
        <v>73716.991</v>
      </c>
      <c r="D154" s="57" t="s">
        <v>106</v>
      </c>
      <c r="E154" s="56">
        <v>44607.92</v>
      </c>
    </row>
    <row r="155">
      <c r="A155" s="58" t="s">
        <v>126</v>
      </c>
      <c r="B155" s="59">
        <f> -12896562 + 6436 *2031- 2.35*43448 </f>
        <v>72851.2</v>
      </c>
      <c r="D155" s="60" t="s">
        <v>177</v>
      </c>
      <c r="E155" s="56">
        <v>44546.0</v>
      </c>
    </row>
    <row r="156">
      <c r="A156" s="54" t="s">
        <v>255</v>
      </c>
      <c r="B156" s="59">
        <f> -5890607 + 2939*2031 - 0.29*20699</f>
        <v>72499.29</v>
      </c>
      <c r="D156" s="20" t="s">
        <v>322</v>
      </c>
      <c r="E156" s="56">
        <v>44348.839999999254</v>
      </c>
    </row>
    <row r="157">
      <c r="A157" s="54" t="s">
        <v>322</v>
      </c>
      <c r="B157" s="59">
        <f> -5360087 + 2667.2*2031 + 1.68*8334</f>
        <v>70997.32</v>
      </c>
      <c r="D157" s="60" t="s">
        <v>165</v>
      </c>
      <c r="E157" s="56">
        <v>44290.32</v>
      </c>
    </row>
    <row r="158">
      <c r="A158" s="54" t="s">
        <v>81</v>
      </c>
      <c r="B158" s="59">
        <f> -5700477 + 2834 *2031+ 0.81 *18147</f>
        <v>70076.07</v>
      </c>
      <c r="D158" s="57" t="s">
        <v>323</v>
      </c>
      <c r="E158" s="56">
        <v>44276.242599999925</v>
      </c>
    </row>
    <row r="159">
      <c r="A159" s="54" t="s">
        <v>59</v>
      </c>
      <c r="B159" s="59">
        <f>-5407046 + 2697 *2031- 0.02  *29687</f>
        <v>69967.26</v>
      </c>
      <c r="D159" s="20" t="s">
        <v>138</v>
      </c>
      <c r="E159" s="56">
        <v>43885.899999999994</v>
      </c>
    </row>
    <row r="160">
      <c r="A160" s="58" t="s">
        <v>324</v>
      </c>
      <c r="B160" s="59">
        <f> -6177054 + 3083.7*2031 - 3.17*5202</f>
        <v>69450.36</v>
      </c>
      <c r="D160" s="20" t="s">
        <v>234</v>
      </c>
      <c r="E160" s="56">
        <v>43605.049999999996</v>
      </c>
    </row>
    <row r="161">
      <c r="A161" s="54" t="s">
        <v>123</v>
      </c>
      <c r="B161" s="59">
        <f>-6076909 + 3024.3 *2031+ 0.239 *15042</f>
        <v>69039.338</v>
      </c>
      <c r="D161" s="65" t="s">
        <v>321</v>
      </c>
      <c r="E161" s="56">
        <v>43593.879</v>
      </c>
    </row>
    <row r="162">
      <c r="A162" s="54" t="s">
        <v>53</v>
      </c>
      <c r="B162" s="59">
        <f> -5448012 + 2733.7*2031 -3.78*9343</f>
        <v>68816.16</v>
      </c>
      <c r="D162" s="57" t="s">
        <v>99</v>
      </c>
      <c r="E162" s="56">
        <v>43277.3</v>
      </c>
    </row>
    <row r="163">
      <c r="A163" s="58" t="s">
        <v>184</v>
      </c>
      <c r="B163" s="59">
        <f> -3751887 + 1872.7*2031 + 2.93*5864</f>
        <v>68748.22</v>
      </c>
      <c r="D163" s="57" t="s">
        <v>59</v>
      </c>
      <c r="E163" s="56">
        <v>43063.4</v>
      </c>
    </row>
    <row r="164">
      <c r="A164" s="58" t="s">
        <v>191</v>
      </c>
      <c r="B164" s="59">
        <f> - 5402852 + 2704*2031- 6.9*3026</f>
        <v>68092.6</v>
      </c>
      <c r="D164" s="57" t="s">
        <v>30</v>
      </c>
      <c r="E164" s="56">
        <v>42878.75</v>
      </c>
    </row>
    <row r="165">
      <c r="A165" s="54" t="s">
        <v>114</v>
      </c>
      <c r="B165" s="59">
        <f>-5699106 + 2832 *2031+ 0.485 *31740</f>
        <v>68079.9</v>
      </c>
      <c r="D165" s="69" t="s">
        <v>325</v>
      </c>
      <c r="E165" s="56">
        <v>42782.948</v>
      </c>
    </row>
    <row r="166">
      <c r="A166" s="70" t="s">
        <v>326</v>
      </c>
      <c r="B166" s="59">
        <f>    -4222888 + 2108 *2031+0.069 *135565</f>
        <v>67813.985</v>
      </c>
      <c r="D166" s="57" t="s">
        <v>232</v>
      </c>
      <c r="E166" s="56">
        <v>42698.59999999998</v>
      </c>
    </row>
    <row r="167">
      <c r="A167" s="54" t="s">
        <v>238</v>
      </c>
      <c r="B167" s="59">
        <f> -6229520 + 3172*2031 - 68.1*2131</f>
        <v>67690.9</v>
      </c>
      <c r="D167" s="69" t="s">
        <v>326</v>
      </c>
      <c r="E167" s="56">
        <v>42610.959</v>
      </c>
    </row>
    <row r="168">
      <c r="A168" s="64" t="s">
        <v>327</v>
      </c>
      <c r="B168" s="59">
        <f> -5968770 + 2979 *2031-0.0526 *265152</f>
        <v>67632.0048</v>
      </c>
      <c r="D168" s="60" t="s">
        <v>126</v>
      </c>
      <c r="E168" s="56">
        <v>42150.25</v>
      </c>
    </row>
    <row r="169">
      <c r="A169" s="70" t="s">
        <v>325</v>
      </c>
      <c r="B169" s="59">
        <f> -5046863 + 2519 *2031 -0.012 *181121</f>
        <v>67052.548</v>
      </c>
      <c r="D169" s="60" t="s">
        <v>328</v>
      </c>
      <c r="E169" s="56">
        <v>42050.0</v>
      </c>
    </row>
    <row r="170">
      <c r="A170" s="54" t="s">
        <v>323</v>
      </c>
      <c r="B170" s="59">
        <f>-4559398 + 2279.02*2031 - 0.1786*14348</f>
        <v>66729.0672</v>
      </c>
      <c r="D170" s="60" t="s">
        <v>329</v>
      </c>
      <c r="E170" s="56">
        <v>41942.89999999963</v>
      </c>
    </row>
    <row r="171">
      <c r="A171" s="54" t="s">
        <v>21</v>
      </c>
      <c r="B171" s="59">
        <f> -4479848 + 2223*2031 + 0.884*35528</f>
        <v>66471.752</v>
      </c>
      <c r="D171" s="57" t="s">
        <v>53</v>
      </c>
      <c r="E171" s="56">
        <v>41781.559999999256</v>
      </c>
    </row>
    <row r="172">
      <c r="A172" s="58" t="s">
        <v>330</v>
      </c>
      <c r="B172" s="59">
        <f> -4883990 + 2429*2031 + 6.5*2536</f>
        <v>65793</v>
      </c>
      <c r="D172" s="57" t="s">
        <v>81</v>
      </c>
      <c r="E172" s="56">
        <f>  -5700477 + 2834 *2021+ 0.81 *18147</f>
        <v>41736.07</v>
      </c>
    </row>
    <row r="173">
      <c r="A173" s="58" t="s">
        <v>207</v>
      </c>
      <c r="B173" s="59">
        <f>-4738677 + 2349.1*2031 + 7.23 *4626</f>
        <v>65791.08</v>
      </c>
      <c r="D173" s="60" t="s">
        <v>330</v>
      </c>
      <c r="E173" s="56">
        <v>41483.5</v>
      </c>
    </row>
    <row r="174">
      <c r="A174" s="58" t="s">
        <v>131</v>
      </c>
      <c r="B174" s="59">
        <f> -6793710 + 3393 *2031- 1.25 *25356</f>
        <v>65778</v>
      </c>
      <c r="D174" s="60" t="s">
        <v>207</v>
      </c>
      <c r="E174" s="56">
        <v>41425.24999999963</v>
      </c>
    </row>
    <row r="175">
      <c r="A175" s="58" t="s">
        <v>329</v>
      </c>
      <c r="B175" s="59">
        <f> -4736922 + 2346.1*2031 + 7.791*4815</f>
        <v>65520.765</v>
      </c>
      <c r="D175" s="60" t="s">
        <v>191</v>
      </c>
      <c r="E175" s="56">
        <v>41135.399999999994</v>
      </c>
    </row>
    <row r="176">
      <c r="A176" s="58" t="s">
        <v>187</v>
      </c>
      <c r="B176" s="59">
        <f> -960917 + 485*2031 + 14.94*2767</f>
        <v>65456.98</v>
      </c>
      <c r="D176" s="65" t="s">
        <v>40</v>
      </c>
      <c r="E176" s="56">
        <v>40728.075000000375</v>
      </c>
    </row>
    <row r="177">
      <c r="A177" s="54" t="s">
        <v>331</v>
      </c>
      <c r="B177" s="59">
        <f> -4464998 + 2220*2031 + 1.22*17717</f>
        <v>65436.74</v>
      </c>
      <c r="D177" s="57" t="s">
        <v>331</v>
      </c>
      <c r="E177" s="56">
        <v>40724.759999999995</v>
      </c>
    </row>
    <row r="178">
      <c r="A178" s="58" t="s">
        <v>315</v>
      </c>
      <c r="B178" s="59">
        <f> -2776948 + 1397.7*2031 + 1.11*2923</f>
        <v>65025.23</v>
      </c>
      <c r="D178" s="57" t="s">
        <v>237</v>
      </c>
      <c r="E178" s="56">
        <v>40105.92999999999</v>
      </c>
    </row>
    <row r="179">
      <c r="A179" s="54" t="s">
        <v>45</v>
      </c>
      <c r="B179" s="59">
        <f> -4873038 + 2416*2031 + 2.04*14975</f>
        <v>64407</v>
      </c>
      <c r="D179" s="57" t="s">
        <v>86</v>
      </c>
      <c r="E179" s="56">
        <v>40033.32599999981</v>
      </c>
    </row>
    <row r="180">
      <c r="A180" s="58" t="s">
        <v>162</v>
      </c>
      <c r="B180" s="61">
        <f> -4552011 + 2524*2031 - 362*1409</f>
        <v>64175</v>
      </c>
      <c r="D180" s="57" t="s">
        <v>45</v>
      </c>
      <c r="E180" s="56">
        <v>39557.479999999996</v>
      </c>
    </row>
    <row r="181">
      <c r="A181" s="54" t="s">
        <v>332</v>
      </c>
      <c r="B181" s="59">
        <f> -5472128 + 2734.8*2031 - 2.08*8919</f>
        <v>63699.28</v>
      </c>
      <c r="D181" s="57" t="s">
        <v>66</v>
      </c>
      <c r="E181" s="56">
        <v>39336.551999999996</v>
      </c>
    </row>
    <row r="182">
      <c r="A182" s="54" t="s">
        <v>36</v>
      </c>
      <c r="B182" s="59">
        <f> -5148608 + 2566*2031 + 0.037*11814</f>
        <v>63375.118</v>
      </c>
      <c r="D182" s="20" t="s">
        <v>203</v>
      </c>
      <c r="E182" s="56">
        <v>39321.79000000001</v>
      </c>
    </row>
    <row r="183">
      <c r="A183" s="54" t="s">
        <v>30</v>
      </c>
      <c r="B183" s="59">
        <f>-5108216 + 2561*2031 - 0.75*40506</f>
        <v>62795.5</v>
      </c>
      <c r="D183" s="57" t="s">
        <v>114</v>
      </c>
      <c r="E183" s="56">
        <v>39160.44</v>
      </c>
    </row>
    <row r="184">
      <c r="A184" s="54" t="s">
        <v>333</v>
      </c>
      <c r="B184" s="59">
        <f>-4813225 + 2406 *2031- 1.29 *8613</f>
        <v>62250.23</v>
      </c>
      <c r="D184" s="65" t="s">
        <v>327</v>
      </c>
      <c r="E184" s="56">
        <v>38917.148799999995</v>
      </c>
    </row>
    <row r="185">
      <c r="A185" s="54" t="s">
        <v>54</v>
      </c>
      <c r="B185" s="59">
        <f> -5817120 + 2907.6*2031 - 1.094*23914</f>
        <v>62053.684</v>
      </c>
      <c r="D185" s="60" t="s">
        <v>324</v>
      </c>
      <c r="E185" s="56">
        <v>38800.38999999926</v>
      </c>
    </row>
    <row r="186">
      <c r="A186" s="54" t="s">
        <v>232</v>
      </c>
      <c r="B186" s="59">
        <f>-3914825 + 2030 *2031- 41.2 *3551</f>
        <v>61803.8</v>
      </c>
      <c r="D186" s="20" t="s">
        <v>320</v>
      </c>
      <c r="E186" s="56">
        <v>38667.19999999995</v>
      </c>
    </row>
    <row r="187">
      <c r="A187" s="54" t="s">
        <v>261</v>
      </c>
      <c r="B187" s="59">
        <f> -2897372 + 1439*2031 + 9.3*3914</f>
        <v>61637.2</v>
      </c>
      <c r="D187" s="20" t="s">
        <v>123</v>
      </c>
      <c r="E187" s="56">
        <v>38609.679000000746</v>
      </c>
    </row>
    <row r="188">
      <c r="A188" s="54" t="s">
        <v>22</v>
      </c>
      <c r="B188" s="59">
        <f>-5142624 + 2565 *2031- 0.246 *22883</f>
        <v>61261.782</v>
      </c>
      <c r="D188" s="60" t="s">
        <v>162</v>
      </c>
      <c r="E188" s="56">
        <v>38573.0</v>
      </c>
    </row>
    <row r="189">
      <c r="A189" s="54" t="s">
        <v>249</v>
      </c>
      <c r="B189" s="59">
        <f>-4712659 + 2383.4*2031 - 21.52*3107</f>
        <v>61163.76</v>
      </c>
      <c r="D189" s="57" t="s">
        <v>333</v>
      </c>
      <c r="E189" s="56">
        <v>38262.47</v>
      </c>
    </row>
    <row r="190">
      <c r="A190" s="64" t="s">
        <v>334</v>
      </c>
      <c r="B190" s="59">
        <f>-5450798 + 2723*2031- 0.255  *73960</f>
        <v>60755.2</v>
      </c>
      <c r="D190" s="57" t="s">
        <v>36</v>
      </c>
      <c r="E190" s="56">
        <v>37596.607</v>
      </c>
    </row>
    <row r="191">
      <c r="A191" s="54" t="s">
        <v>335</v>
      </c>
      <c r="B191" s="61">
        <f> -6406185 + 3216*2031 - 20.05*3237</f>
        <v>60609.15</v>
      </c>
      <c r="D191" s="20" t="s">
        <v>249</v>
      </c>
      <c r="E191" s="56">
        <v>37544.96000000037</v>
      </c>
    </row>
    <row r="192">
      <c r="A192" s="54" t="s">
        <v>66</v>
      </c>
      <c r="B192" s="59">
        <f>1251722 - 634 *2031+ 1.848  *52091</f>
        <v>60332.168</v>
      </c>
      <c r="D192" s="57" t="s">
        <v>332</v>
      </c>
      <c r="E192" s="56">
        <v>37237.36000000074</v>
      </c>
    </row>
    <row r="193">
      <c r="A193" s="71" t="s">
        <v>336</v>
      </c>
      <c r="B193" s="59">
        <f> -6275886 + 3124*2031- 0.071 *123268</f>
        <v>60205.972</v>
      </c>
      <c r="D193" s="20" t="s">
        <v>119</v>
      </c>
      <c r="E193" s="56">
        <v>36831.45</v>
      </c>
    </row>
    <row r="194">
      <c r="A194" s="54" t="s">
        <v>86</v>
      </c>
      <c r="B194" s="59">
        <f>-3994280 + 1994.8 *2031+ 0.133 *21828</f>
        <v>60061.924</v>
      </c>
      <c r="D194" s="60" t="s">
        <v>131</v>
      </c>
      <c r="E194" s="56">
        <v>36741.75</v>
      </c>
    </row>
    <row r="195">
      <c r="A195" s="64" t="s">
        <v>337</v>
      </c>
      <c r="B195" s="59">
        <f>-5582345 + 2784 *2031- 0.0906  *135333</f>
        <v>59697.8302</v>
      </c>
      <c r="D195" s="20" t="s">
        <v>238</v>
      </c>
      <c r="E195" s="56">
        <v>35970.90000000002</v>
      </c>
    </row>
    <row r="196">
      <c r="A196" s="54" t="s">
        <v>247</v>
      </c>
      <c r="B196" s="59">
        <f>-2844561 + 1403 *2031+ 5.92*9223</f>
        <v>59532.16</v>
      </c>
      <c r="D196" s="65" t="s">
        <v>338</v>
      </c>
      <c r="E196" s="56">
        <v>35947.7312</v>
      </c>
    </row>
    <row r="197">
      <c r="A197" s="64" t="s">
        <v>339</v>
      </c>
      <c r="B197" s="59">
        <f>-6655911 + 3313 *2031- 0.205 *65282</f>
        <v>59409.19</v>
      </c>
      <c r="D197" s="57" t="s">
        <v>22</v>
      </c>
      <c r="E197" s="56">
        <v>35780.292</v>
      </c>
    </row>
    <row r="198">
      <c r="A198" s="54" t="s">
        <v>234</v>
      </c>
      <c r="B198" s="59">
        <f> -2650088 + 1312*2031 + 6.337*7019</f>
        <v>59063.403</v>
      </c>
      <c r="D198" s="65" t="s">
        <v>334</v>
      </c>
      <c r="E198" s="56">
        <v>35486.66</v>
      </c>
    </row>
    <row r="199">
      <c r="A199" s="71" t="s">
        <v>340</v>
      </c>
      <c r="B199" s="59">
        <f> -5546451 + 2760 *2031- 0.006 *17130</f>
        <v>59006.22</v>
      </c>
      <c r="D199" s="65" t="s">
        <v>341</v>
      </c>
      <c r="E199" s="56">
        <v>35396.2456</v>
      </c>
    </row>
    <row r="200">
      <c r="A200" s="54" t="s">
        <v>119</v>
      </c>
      <c r="B200" s="59">
        <f> -4910774 + 2459 *2031- 0.97 *25327</f>
        <v>58887.81</v>
      </c>
      <c r="D200" s="57" t="s">
        <v>54</v>
      </c>
      <c r="E200" s="56">
        <v>34961.10599999962</v>
      </c>
    </row>
    <row r="201">
      <c r="A201" s="58" t="s">
        <v>328</v>
      </c>
      <c r="B201" s="59">
        <f>-3973676 + 2087 *2031- 43.5 *4741</f>
        <v>58787.5</v>
      </c>
      <c r="D201" s="57" t="s">
        <v>21</v>
      </c>
      <c r="E201" s="56">
        <v>34698.972</v>
      </c>
    </row>
    <row r="202">
      <c r="A202" s="64" t="s">
        <v>341</v>
      </c>
      <c r="B202" s="59">
        <f> -4849606 + 2418 *2031- 0.0193  *134333</f>
        <v>58759.3731</v>
      </c>
      <c r="D202" s="57" t="s">
        <v>256</v>
      </c>
      <c r="E202" s="56">
        <v>34554.09999999963</v>
      </c>
    </row>
    <row r="203">
      <c r="A203" s="64" t="s">
        <v>338</v>
      </c>
      <c r="B203" s="59">
        <f> -4879213 + 2433 *2031 - 0.0264  *169606</f>
        <v>57732.4016</v>
      </c>
      <c r="D203" s="57" t="s">
        <v>342</v>
      </c>
      <c r="E203" s="56">
        <v>34391.126</v>
      </c>
    </row>
    <row r="204">
      <c r="A204" s="54" t="s">
        <v>138</v>
      </c>
      <c r="B204" s="59">
        <f> -2678854 + 1252*2031 + 62.1*3104</f>
        <v>56716.4</v>
      </c>
      <c r="D204" s="65" t="s">
        <v>337</v>
      </c>
      <c r="E204" s="56">
        <v>34002.4228</v>
      </c>
    </row>
    <row r="205">
      <c r="A205" s="54" t="s">
        <v>203</v>
      </c>
      <c r="B205" s="59">
        <f> -3563828 + 1830 *2031- 16.29 *5953</f>
        <v>55927.63</v>
      </c>
      <c r="D205" s="20" t="s">
        <v>343</v>
      </c>
      <c r="E205" s="56">
        <v>33115.33</v>
      </c>
    </row>
    <row r="206">
      <c r="A206" s="64" t="s">
        <v>344</v>
      </c>
      <c r="B206" s="59">
        <f>-5005596 + 2514 *2031 - 0.503 *88577</f>
        <v>55783.769</v>
      </c>
      <c r="D206" s="65" t="s">
        <v>345</v>
      </c>
      <c r="E206" s="56">
        <v>32808.332500000004</v>
      </c>
    </row>
    <row r="207">
      <c r="A207" s="64" t="s">
        <v>346</v>
      </c>
      <c r="B207" s="59">
        <f>-5061826 + 2519.8 *2031 -0.0022 *86047</f>
        <v>55698.4966</v>
      </c>
      <c r="D207" s="57" t="s">
        <v>347</v>
      </c>
      <c r="E207" s="56">
        <v>32554.48</v>
      </c>
    </row>
    <row r="208">
      <c r="A208" s="64" t="s">
        <v>348</v>
      </c>
      <c r="B208" s="59">
        <f> -5063416 + 2520.6 *2031 -0.0064 *40537</f>
        <v>55663.1632</v>
      </c>
      <c r="D208" s="57" t="s">
        <v>48</v>
      </c>
      <c r="E208" s="56">
        <v>32229.099999999627</v>
      </c>
    </row>
    <row r="209">
      <c r="A209" s="64" t="s">
        <v>349</v>
      </c>
      <c r="B209" s="59">
        <f> -4914954 + 2446.5 *2031 +0.0388 *42227</f>
        <v>55525.9076</v>
      </c>
      <c r="D209" s="65" t="s">
        <v>350</v>
      </c>
      <c r="E209" s="56">
        <v>32063.2381</v>
      </c>
    </row>
    <row r="210">
      <c r="A210" s="64" t="s">
        <v>351</v>
      </c>
      <c r="B210" s="59">
        <f>-6793912 + 3398 *2031 - 0.373 *139759</f>
        <v>55295.893</v>
      </c>
      <c r="D210" s="65" t="s">
        <v>351</v>
      </c>
      <c r="E210" s="56">
        <v>32048.222</v>
      </c>
    </row>
    <row r="211">
      <c r="A211" s="64" t="s">
        <v>352</v>
      </c>
      <c r="B211" s="59">
        <f>-5561453 + 2779 *2031- 0.178 *154512</f>
        <v>55192.864</v>
      </c>
      <c r="D211" s="57" t="s">
        <v>90</v>
      </c>
      <c r="E211" s="56">
        <v>31747.88</v>
      </c>
    </row>
    <row r="212">
      <c r="A212" s="54" t="s">
        <v>353</v>
      </c>
      <c r="B212" s="59">
        <f>-7597431 + 3797 *2031- 0.808  *73126</f>
        <v>55190.192</v>
      </c>
      <c r="D212" s="60" t="s">
        <v>215</v>
      </c>
      <c r="E212" s="56">
        <v>31721.25200000037</v>
      </c>
    </row>
    <row r="213">
      <c r="A213" s="54" t="s">
        <v>125</v>
      </c>
      <c r="B213" s="59">
        <f>-4848148 + 2415.8 *2031- 0.0985*42119</f>
        <v>54193.0785</v>
      </c>
      <c r="D213" s="65" t="s">
        <v>352</v>
      </c>
      <c r="E213" s="56">
        <v>31706.904000000002</v>
      </c>
    </row>
    <row r="214">
      <c r="A214" s="64" t="s">
        <v>40</v>
      </c>
      <c r="B214" s="59">
        <f> -2763434 + 1389.4 *2031 -0.075 *57916</f>
        <v>54093.7</v>
      </c>
      <c r="D214" s="72" t="s">
        <v>340</v>
      </c>
      <c r="E214" s="56">
        <v>31405.5</v>
      </c>
    </row>
    <row r="215">
      <c r="A215" s="54" t="s">
        <v>342</v>
      </c>
      <c r="B215" s="59">
        <f> -3571724 + 1782.5*2031 + 0.362*14291</f>
        <v>53706.842</v>
      </c>
      <c r="D215" s="20" t="s">
        <v>335</v>
      </c>
      <c r="E215" s="56">
        <v>31035.6</v>
      </c>
    </row>
    <row r="216">
      <c r="A216" s="54" t="s">
        <v>256</v>
      </c>
      <c r="B216" s="59">
        <f> -3654781 + 1821.1*2031 + 0.78*12572</f>
        <v>53679.26</v>
      </c>
      <c r="D216" s="65" t="s">
        <v>349</v>
      </c>
      <c r="E216" s="56">
        <v>30961.3856</v>
      </c>
    </row>
    <row r="217">
      <c r="A217" s="64" t="s">
        <v>350</v>
      </c>
      <c r="B217" s="59">
        <f>-4447561 + 2218*2031- 0.0309 *123114</f>
        <v>53392.7774</v>
      </c>
      <c r="D217" s="60" t="s">
        <v>354</v>
      </c>
      <c r="E217" s="56">
        <v>30807.800000000003</v>
      </c>
    </row>
    <row r="218">
      <c r="A218" s="54" t="s">
        <v>347</v>
      </c>
      <c r="B218" s="59">
        <f>-3899522 + 1944 *2031+ 0.105*43599 </f>
        <v>53319.895</v>
      </c>
      <c r="D218" s="65" t="s">
        <v>355</v>
      </c>
      <c r="E218" s="56">
        <v>30798.0998</v>
      </c>
    </row>
    <row r="219">
      <c r="A219" s="54" t="s">
        <v>85</v>
      </c>
      <c r="B219" s="59">
        <f>-4595503 + 2304.2 *2031- 4 *7767</f>
        <v>53259.2</v>
      </c>
      <c r="D219" s="73" t="s">
        <v>102</v>
      </c>
      <c r="E219" s="74">
        <v>30637.440000000002</v>
      </c>
    </row>
    <row r="220">
      <c r="A220" s="75" t="s">
        <v>345</v>
      </c>
      <c r="B220" s="59">
        <f>-2270720 + 1131 *2031+ 0.1725 *155331</f>
        <v>53135.5975</v>
      </c>
      <c r="D220" s="75" t="s">
        <v>346</v>
      </c>
      <c r="E220" s="56">
        <v>30530.273600000746</v>
      </c>
    </row>
    <row r="221">
      <c r="A221" s="76" t="s">
        <v>128</v>
      </c>
      <c r="B221" s="59">
        <f>-5719120 + 2853 *2031- 0.594 *37623</f>
        <v>52974.938</v>
      </c>
      <c r="D221" s="75" t="s">
        <v>348</v>
      </c>
      <c r="E221" s="56">
        <v>30470.590399999626</v>
      </c>
    </row>
    <row r="222">
      <c r="A222" s="77" t="s">
        <v>90</v>
      </c>
      <c r="B222" s="59">
        <f>-4218089 + 2102 *2031+ 0.18 *9500</f>
        <v>52783</v>
      </c>
      <c r="D222" s="78" t="s">
        <v>125</v>
      </c>
      <c r="E222" s="56">
        <v>30441.785000000746</v>
      </c>
    </row>
    <row r="223">
      <c r="A223" s="76" t="s">
        <v>215</v>
      </c>
      <c r="B223" s="59">
        <f>-4120939 + 2057.4 *2031- 1.163  *4729</f>
        <v>52140.573</v>
      </c>
      <c r="D223" s="75" t="s">
        <v>344</v>
      </c>
      <c r="E223" s="56">
        <v>30248.913999999997</v>
      </c>
    </row>
    <row r="224">
      <c r="A224" s="79" t="s">
        <v>355</v>
      </c>
      <c r="B224" s="59">
        <f> -4325866 + 2157*2031 - 0.0211 *141942</f>
        <v>52006.0238</v>
      </c>
      <c r="D224" s="80" t="s">
        <v>85</v>
      </c>
      <c r="E224" s="56">
        <v>30225.199999999255</v>
      </c>
    </row>
    <row r="225">
      <c r="A225" s="81" t="s">
        <v>343</v>
      </c>
      <c r="B225" s="59">
        <f> -3589746 + 1780 *2031+ 3.13  *8269</f>
        <v>51315.97</v>
      </c>
      <c r="D225" s="82" t="s">
        <v>336</v>
      </c>
      <c r="E225" s="56">
        <v>30140.738</v>
      </c>
    </row>
    <row r="226">
      <c r="A226" s="77" t="s">
        <v>117</v>
      </c>
      <c r="B226" s="59">
        <f>-4161620 + 2073.9 *2031- 0.106  *9516</f>
        <v>49462.204</v>
      </c>
      <c r="D226" s="83" t="s">
        <v>78</v>
      </c>
      <c r="E226" s="56">
        <v>29741.71</v>
      </c>
    </row>
    <row r="227">
      <c r="A227" s="77" t="s">
        <v>170</v>
      </c>
      <c r="B227" s="59">
        <f> -4315325 + 2167*2031 - 4.98*7343</f>
        <v>49283.86</v>
      </c>
      <c r="D227" s="75" t="s">
        <v>339</v>
      </c>
      <c r="E227" s="56">
        <v>29242.67</v>
      </c>
    </row>
    <row r="228">
      <c r="A228" s="77" t="s">
        <v>48</v>
      </c>
      <c r="B228" s="59">
        <f> -3969553 + 1980.1*2031 - 0.157*24975</f>
        <v>48109.025</v>
      </c>
      <c r="D228" s="78" t="s">
        <v>353</v>
      </c>
      <c r="E228" s="56">
        <v>28857.816</v>
      </c>
    </row>
    <row r="229">
      <c r="A229" s="77" t="s">
        <v>102</v>
      </c>
      <c r="B229" s="59">
        <f>-3385342 + 1684 *2031 + 2.06 *6147</f>
        <v>47524.82</v>
      </c>
      <c r="D229" s="78" t="s">
        <v>117</v>
      </c>
      <c r="E229" s="56">
        <v>28730.094000000372</v>
      </c>
    </row>
    <row r="230">
      <c r="A230" s="77" t="s">
        <v>50</v>
      </c>
      <c r="B230" s="59">
        <f> -4158404 + 2075*2031 - 0.619*13865</f>
        <v>47338.565</v>
      </c>
      <c r="D230" s="84" t="s">
        <v>128</v>
      </c>
      <c r="E230" s="56">
        <v>28659.962</v>
      </c>
    </row>
    <row r="231">
      <c r="A231" s="77" t="s">
        <v>236</v>
      </c>
      <c r="B231" s="59">
        <f>-3749081 + 1907 *2031- 27.1 *2887</f>
        <v>45798.3</v>
      </c>
      <c r="D231" s="78" t="s">
        <v>233</v>
      </c>
      <c r="E231" s="56">
        <v>28401.0</v>
      </c>
    </row>
    <row r="232">
      <c r="A232" s="77" t="s">
        <v>233</v>
      </c>
      <c r="B232" s="59">
        <f> -3059239 + 1514*2031 + 7*4016</f>
        <v>43807</v>
      </c>
      <c r="D232" s="83" t="s">
        <v>50</v>
      </c>
      <c r="E232" s="56">
        <v>28168.872</v>
      </c>
    </row>
    <row r="233">
      <c r="A233" s="76" t="s">
        <v>354</v>
      </c>
      <c r="B233" s="59">
        <f> -2503133 + 1214*2031 + 18.3*4399</f>
        <v>43002.7</v>
      </c>
      <c r="D233" s="78" t="s">
        <v>170</v>
      </c>
      <c r="E233" s="56">
        <v>27823.019999999997</v>
      </c>
    </row>
    <row r="234">
      <c r="A234" s="77" t="s">
        <v>78</v>
      </c>
      <c r="B234" s="59">
        <f>-2186264 + 1081 *2031 + 5.87 *5530</f>
        <v>41708.1</v>
      </c>
      <c r="D234" s="78" t="s">
        <v>236</v>
      </c>
      <c r="E234" s="56">
        <f>  -3749081 + 1907 *2021- 27.1 *2887</f>
        <v>26728.3</v>
      </c>
    </row>
    <row r="235">
      <c r="A235" s="77" t="s">
        <v>87</v>
      </c>
      <c r="B235" s="59">
        <f>-2756678 + 1373 *2031+ 0.381 *18156</f>
        <v>38802.436</v>
      </c>
      <c r="D235" s="84" t="s">
        <v>20</v>
      </c>
      <c r="E235" s="56">
        <v>25794.972</v>
      </c>
    </row>
    <row r="236">
      <c r="A236" s="85" t="s">
        <v>20</v>
      </c>
      <c r="B236" s="62">
        <v>35222.0</v>
      </c>
      <c r="D236" s="57" t="s">
        <v>87</v>
      </c>
      <c r="E236" s="56">
        <v>24929.561</v>
      </c>
    </row>
    <row r="237">
      <c r="A237" s="65" t="s">
        <v>356</v>
      </c>
      <c r="B237" s="59">
        <f> -2370160 + 1182 *2031+ 0.0031  *138741</f>
        <v>30912.0971</v>
      </c>
      <c r="D237" s="65" t="s">
        <v>357</v>
      </c>
      <c r="E237" s="56">
        <v>20055.1994</v>
      </c>
    </row>
    <row r="238">
      <c r="A238" s="86" t="s">
        <v>358</v>
      </c>
      <c r="B238" s="59">
        <f>-2268513 + 1131 *2031+ 0.04 *53547</f>
        <v>30689.88</v>
      </c>
      <c r="D238" s="57" t="s">
        <v>358</v>
      </c>
      <c r="E238" s="56">
        <v>19287.04</v>
      </c>
    </row>
    <row r="239">
      <c r="A239" s="65" t="s">
        <v>359</v>
      </c>
      <c r="B239" s="59">
        <f> -2489289 + 1241*2031 - 0.0183  *66125</f>
        <v>29971.9125</v>
      </c>
      <c r="D239" s="65" t="s">
        <v>356</v>
      </c>
      <c r="E239" s="56">
        <v>18832.531</v>
      </c>
    </row>
    <row r="240">
      <c r="A240" s="65" t="s">
        <v>360</v>
      </c>
      <c r="B240" s="59">
        <f>-2415261 + 1204.5 *2031- 0.00849  *135270</f>
        <v>29930.0577</v>
      </c>
      <c r="D240" s="65" t="s">
        <v>360</v>
      </c>
      <c r="E240" s="56">
        <v>18365.32851</v>
      </c>
    </row>
    <row r="241">
      <c r="A241" s="65" t="s">
        <v>357</v>
      </c>
      <c r="B241" s="59">
        <f>-2157535 + 1078 *2031 - 0.0133  *216626</f>
        <v>29001.8742</v>
      </c>
      <c r="D241" s="65" t="s">
        <v>359</v>
      </c>
      <c r="E241" s="56">
        <v>18212.4958</v>
      </c>
    </row>
    <row r="242">
      <c r="A242" s="65" t="s">
        <v>361</v>
      </c>
      <c r="B242" s="59">
        <f>-1937955 + 968 *2031- 0.002  *199363</f>
        <v>27654.274</v>
      </c>
      <c r="D242" s="65" t="s">
        <v>361</v>
      </c>
      <c r="E242" s="56">
        <v>18202.166</v>
      </c>
    </row>
    <row r="243">
      <c r="A243" s="65" t="s">
        <v>362</v>
      </c>
      <c r="B243" s="59">
        <f> -2031720 + 1013 *2031 +0.001 *157262</f>
        <v>25840.262</v>
      </c>
      <c r="D243" s="20" t="s">
        <v>363</v>
      </c>
      <c r="E243" s="56">
        <v>17600.13</v>
      </c>
    </row>
    <row r="244">
      <c r="A244" s="65" t="s">
        <v>364</v>
      </c>
      <c r="B244" s="59">
        <f> -2120364 + 1057 *2031 -0.0061 *132943</f>
        <v>25592.0477</v>
      </c>
      <c r="D244" s="20" t="s">
        <v>365</v>
      </c>
      <c r="E244" s="56">
        <v>17388.64</v>
      </c>
    </row>
    <row r="245">
      <c r="A245" s="65" t="s">
        <v>366</v>
      </c>
      <c r="B245" s="59">
        <f> -2113065 + 1053 *2031 -0.006 *133237</f>
        <v>24778.578</v>
      </c>
      <c r="D245" s="65" t="s">
        <v>364</v>
      </c>
      <c r="E245" s="56">
        <v>15622.4097</v>
      </c>
    </row>
    <row r="246">
      <c r="A246" s="86" t="s">
        <v>72</v>
      </c>
      <c r="B246" s="59">
        <f>-2077371 + 1037 *2031- 0.051 *95457 </f>
        <v>23907.693</v>
      </c>
      <c r="D246" s="65" t="s">
        <v>362</v>
      </c>
      <c r="E246" s="56">
        <v>15587.705</v>
      </c>
    </row>
    <row r="247">
      <c r="A247" s="86" t="s">
        <v>365</v>
      </c>
      <c r="B247" s="59">
        <f> -454582 + 228*2031 + 2.66*5293</f>
        <v>22565.38</v>
      </c>
      <c r="D247" s="65" t="s">
        <v>366</v>
      </c>
      <c r="E247" s="56">
        <v>14720.292</v>
      </c>
    </row>
    <row r="248">
      <c r="A248" s="86" t="s">
        <v>363</v>
      </c>
      <c r="B248" s="59">
        <f>-986512 + 497 *2031 - 0.07*5432</f>
        <v>22514.76</v>
      </c>
      <c r="D248" s="57" t="s">
        <v>72</v>
      </c>
      <c r="E248" s="56">
        <v>14136.076000000001</v>
      </c>
    </row>
    <row r="249">
      <c r="A249" s="65" t="s">
        <v>367</v>
      </c>
      <c r="B249" s="59">
        <f>-684536 + 340 *2031 + 0.2034 *63516</f>
        <v>18923.1544</v>
      </c>
      <c r="D249" s="65" t="s">
        <v>368</v>
      </c>
      <c r="E249" s="56">
        <v>11720.429</v>
      </c>
    </row>
    <row r="250">
      <c r="A250" s="65" t="s">
        <v>369</v>
      </c>
      <c r="B250" s="59">
        <f>-867878 + 427*2031+ 0.1784*109036 </f>
        <v>18811.0224</v>
      </c>
      <c r="D250" s="65" t="s">
        <v>370</v>
      </c>
      <c r="E250" s="56">
        <v>11563.27641</v>
      </c>
    </row>
    <row r="251">
      <c r="A251" s="65" t="s">
        <v>370</v>
      </c>
      <c r="B251" s="59">
        <f> -1461742 + 729*2031 - 0.00013  *1077662</f>
        <v>18716.90394</v>
      </c>
      <c r="D251" s="65" t="s">
        <v>369</v>
      </c>
      <c r="E251" s="56">
        <v>10123.3032</v>
      </c>
    </row>
    <row r="252">
      <c r="A252" s="65" t="s">
        <v>368</v>
      </c>
      <c r="B252" s="59">
        <f> -1632742 + 814 *2031 - 0.0254  *85607</f>
        <v>18317.5822</v>
      </c>
      <c r="D252" s="65" t="s">
        <v>367</v>
      </c>
      <c r="E252" s="56">
        <v>9728.288400000001</v>
      </c>
    </row>
    <row r="253">
      <c r="A253" s="87"/>
      <c r="B253" s="88"/>
      <c r="D253" s="89"/>
      <c r="E253" s="90"/>
    </row>
    <row r="254">
      <c r="A254" s="87"/>
      <c r="B254" s="88"/>
      <c r="D254" s="91"/>
      <c r="E254" s="90"/>
    </row>
    <row r="255">
      <c r="A255" s="87"/>
      <c r="B255" s="88"/>
      <c r="D255" s="91"/>
      <c r="E255" s="90"/>
    </row>
    <row r="256">
      <c r="A256" s="87"/>
      <c r="B256" s="88"/>
      <c r="D256" s="91"/>
      <c r="E256" s="90"/>
    </row>
    <row r="257">
      <c r="A257" s="87"/>
      <c r="B257" s="92"/>
      <c r="D257" s="91"/>
      <c r="E257" s="91"/>
    </row>
    <row r="258">
      <c r="A258" s="87"/>
      <c r="B258" s="92"/>
      <c r="D258" s="91"/>
      <c r="E258" s="91"/>
    </row>
    <row r="259">
      <c r="A259" s="87"/>
      <c r="B259" s="92"/>
      <c r="D259" s="91"/>
      <c r="E259" s="93"/>
    </row>
    <row r="260">
      <c r="A260" s="87"/>
      <c r="B260" s="92"/>
      <c r="D260" s="91"/>
      <c r="E260" s="93"/>
    </row>
    <row r="261">
      <c r="A261" s="87"/>
      <c r="B261" s="92"/>
      <c r="D261" s="91"/>
      <c r="E261" s="93"/>
    </row>
    <row r="262">
      <c r="A262" s="87"/>
      <c r="B262" s="92"/>
      <c r="D262" s="91"/>
      <c r="E262" s="93"/>
    </row>
    <row r="263">
      <c r="A263" s="87"/>
      <c r="B263" s="92"/>
      <c r="D263" s="91"/>
      <c r="E263" s="93"/>
    </row>
    <row r="264">
      <c r="A264" s="87"/>
      <c r="B264" s="92"/>
      <c r="D264" s="91"/>
      <c r="E264" s="93"/>
    </row>
    <row r="265">
      <c r="A265" s="87"/>
      <c r="B265" s="92"/>
      <c r="D265" s="91"/>
      <c r="E265" s="93"/>
    </row>
    <row r="266">
      <c r="A266" s="87"/>
      <c r="B266" s="92"/>
      <c r="D266" s="91"/>
      <c r="E266" s="93"/>
    </row>
    <row r="267">
      <c r="A267" s="87"/>
      <c r="B267" s="92"/>
      <c r="D267" s="91"/>
      <c r="E267" s="94"/>
    </row>
    <row r="268">
      <c r="A268" s="95"/>
      <c r="B268" s="96"/>
      <c r="D268" s="95"/>
      <c r="E268" s="97"/>
    </row>
    <row r="269">
      <c r="A269" s="98" t="s">
        <v>371</v>
      </c>
      <c r="B269" s="98">
        <v>2031.0</v>
      </c>
      <c r="C269" s="99"/>
      <c r="D269" s="98" t="s">
        <v>372</v>
      </c>
      <c r="E269" s="98">
        <v>2021.0</v>
      </c>
    </row>
    <row r="270">
      <c r="A270" s="28" t="s">
        <v>373</v>
      </c>
      <c r="B270" s="100">
        <f>  -3850363 + 1916 *2031 - 0.159 *22417</f>
        <v>37468.697</v>
      </c>
      <c r="D270" s="28" t="s">
        <v>373</v>
      </c>
      <c r="E270" s="101">
        <f>  -3850363 + 1916 *2021 - 0.159 *20814</f>
        <v>18563.574</v>
      </c>
    </row>
    <row r="271">
      <c r="A271" s="28" t="s">
        <v>374</v>
      </c>
      <c r="B271" s="100">
        <f> -2223308 + 1106.4 *2031+ 0.01801*149250 </f>
        <v>26478.3925</v>
      </c>
      <c r="D271" s="28" t="s">
        <v>375</v>
      </c>
      <c r="E271" s="102">
        <f> -1055146 + 529*2021 + 0.089*12313</f>
        <v>15058.857</v>
      </c>
    </row>
    <row r="272">
      <c r="A272" s="28" t="s">
        <v>376</v>
      </c>
      <c r="B272" s="100">
        <f> -1657007 + 826 *2031+ 0.0458 *53852</f>
        <v>23065.4216</v>
      </c>
      <c r="D272" s="28" t="s">
        <v>376</v>
      </c>
      <c r="E272" s="101">
        <f>     -1657007 + 826 *2021+ 0.0458 *53457</f>
        <v>14787.3306</v>
      </c>
    </row>
    <row r="273">
      <c r="A273" s="28" t="s">
        <v>377</v>
      </c>
      <c r="B273" s="100">
        <f>-1674368 + 834.3 *2031+ 0.0118 *103351 </f>
        <v>21314.8418</v>
      </c>
      <c r="D273" s="28" t="s">
        <v>374</v>
      </c>
      <c r="E273" s="101">
        <f>  -2223308 + 1106.4 *2021+ 0.01801*85221</f>
        <v>14261.23021</v>
      </c>
    </row>
    <row r="274">
      <c r="A274" s="28" t="s">
        <v>378</v>
      </c>
      <c r="B274" s="103">
        <f>-1777849 + 886.4 *2031- 0.0182 *62450</f>
        <v>21292.81</v>
      </c>
      <c r="D274" s="28" t="s">
        <v>379</v>
      </c>
      <c r="E274" s="101">
        <f> -1165905 + 584.1*2021 - 0.0032*93998</f>
        <v>14260.3064</v>
      </c>
    </row>
    <row r="275">
      <c r="A275" s="28" t="s">
        <v>380</v>
      </c>
      <c r="B275" s="100">
        <f>-1752298 + 872.8 *2031+ 0.00322 *154240</f>
        <v>20855.4528</v>
      </c>
      <c r="D275" s="28" t="s">
        <v>378</v>
      </c>
      <c r="E275" s="101">
        <f>   -1777849 + 886.4 *2021- 0.0182 *60885</f>
        <v>12457.293</v>
      </c>
    </row>
    <row r="276">
      <c r="A276" s="28" t="s">
        <v>375</v>
      </c>
      <c r="B276" s="104">
        <f>        -1055146 + 529*2031 + 0.089*12273</f>
        <v>20345.297</v>
      </c>
      <c r="D276" s="28" t="s">
        <v>377</v>
      </c>
      <c r="E276" s="101">
        <f>   -1674368 + 834.3 *2021 +0.0118 *36580</f>
        <v>12183.944</v>
      </c>
    </row>
    <row r="277">
      <c r="A277" s="28" t="s">
        <v>379</v>
      </c>
      <c r="B277" s="100">
        <f> -1165905 + 584.1*2031 - 0.0032*94696</f>
        <v>20099.0728</v>
      </c>
      <c r="D277" s="28" t="s">
        <v>380</v>
      </c>
      <c r="E277" s="101">
        <f>  -1752298 + 872.8 *2021 + 0.00322 *51364</f>
        <v>11796.19208</v>
      </c>
    </row>
    <row r="278">
      <c r="A278" s="28" t="s">
        <v>374</v>
      </c>
      <c r="B278" s="100">
        <f> -1409045 + 703 *2031- 0.0094 *158196</f>
        <v>17260.9576</v>
      </c>
      <c r="D278" s="28" t="s">
        <v>374</v>
      </c>
      <c r="E278" s="101">
        <f> -772252 + 387.5*2021 + 0.0037*82963</f>
        <v>11192.4631</v>
      </c>
    </row>
    <row r="279">
      <c r="A279" s="28" t="s">
        <v>374</v>
      </c>
      <c r="B279" s="103">
        <f> -772252 + 387.5*2031+ 0.0037*83033</f>
        <v>15067.7221</v>
      </c>
      <c r="D279" s="28" t="s">
        <v>374</v>
      </c>
      <c r="E279" s="101">
        <f>    -1409045 + 703 *2021- 0.0094 *130205</f>
        <v>10494.073</v>
      </c>
    </row>
    <row r="280">
      <c r="A280" s="28" t="s">
        <v>381</v>
      </c>
      <c r="B280" s="100">
        <f>-973274 + 484.9 *2031+ 0.0178 *81183</f>
        <v>13002.9574</v>
      </c>
      <c r="D280" s="18" t="s">
        <v>382</v>
      </c>
      <c r="E280" s="56">
        <f>  -848491 + 425.7 *2021- 0.0526*46138</f>
        <v>9421.8412</v>
      </c>
    </row>
    <row r="281">
      <c r="A281" s="18" t="s">
        <v>382</v>
      </c>
      <c r="B281" s="100">
        <f>-848491 + 425.7 *2031- 0.0526*77857 </f>
        <v>12010.4218</v>
      </c>
      <c r="D281" s="28" t="s">
        <v>381</v>
      </c>
      <c r="E281" s="101">
        <f>    -973274 + 484.9 *2021+ 0.0178 *79682</f>
        <v>8127.2396</v>
      </c>
    </row>
    <row r="282">
      <c r="A282" s="28" t="s">
        <v>383</v>
      </c>
      <c r="B282" s="100">
        <f> -432623 + 218*2031 - 0.0076*18600</f>
        <v>9993.64</v>
      </c>
      <c r="D282" s="28" t="s">
        <v>384</v>
      </c>
      <c r="E282" s="101">
        <f> -405844 + 204.5*2021 + 0.0217*17331</f>
        <v>7826.5827</v>
      </c>
    </row>
    <row r="283">
      <c r="A283" s="28" t="s">
        <v>384</v>
      </c>
      <c r="B283" s="100">
        <f> -405844 + 204.5*2031 + 0.0217*17374</f>
        <v>9872.5158</v>
      </c>
      <c r="D283" s="28" t="s">
        <v>383</v>
      </c>
      <c r="E283" s="102">
        <f> -432623 + 218*2021 - 0.0076*18578</f>
        <v>7813.8072</v>
      </c>
    </row>
    <row r="284">
      <c r="A284" s="28" t="s">
        <v>385</v>
      </c>
      <c r="B284" s="105">
        <f> -602662 + 301 *2031-0.132 *22027</f>
        <v>5761.436</v>
      </c>
      <c r="D284" s="28" t="s">
        <v>374</v>
      </c>
      <c r="E284" s="56">
        <f>-215291 + 107.9 *2021+0.0086 *71324</f>
        <v>3388.2864</v>
      </c>
    </row>
    <row r="285">
      <c r="A285" s="18" t="s">
        <v>386</v>
      </c>
      <c r="B285" s="105">
        <f> -230700 + 115.84 *2031-0.0028 *12534</f>
        <v>4535.9448</v>
      </c>
      <c r="D285" s="18" t="s">
        <v>386</v>
      </c>
      <c r="E285" s="56">
        <f>-230700 + 115.84 *2021-0.0028 *12535</f>
        <v>3377.542</v>
      </c>
    </row>
    <row r="286">
      <c r="A286" s="28" t="s">
        <v>374</v>
      </c>
      <c r="B286" s="105">
        <f> -215291 + 107.9 *2031+0.0086 *71313</f>
        <v>4467.1918</v>
      </c>
      <c r="D286" s="28" t="s">
        <v>387</v>
      </c>
      <c r="E286" s="101">
        <f>-189553 + 95.47 *2021-0.0044 *21503</f>
        <v>3297.2568</v>
      </c>
    </row>
    <row r="287">
      <c r="A287" s="28" t="s">
        <v>387</v>
      </c>
      <c r="B287" s="106">
        <f> -189553 + 95.47 *2031-0.0044 *21527</f>
        <v>4251.8512</v>
      </c>
      <c r="D287" s="28" t="s">
        <v>385</v>
      </c>
      <c r="E287" s="107">
        <f>   -602662 + 301 *2021 -0.132 *20434</f>
        <v>2961.712</v>
      </c>
    </row>
    <row r="288">
      <c r="A288" s="28" t="s">
        <v>388</v>
      </c>
      <c r="B288" s="105">
        <f> -399897 + 200 *2031-0.2561 *8948</f>
        <v>4011.4172</v>
      </c>
      <c r="D288" s="28" t="s">
        <v>388</v>
      </c>
      <c r="E288" s="101">
        <f>   -399897 + 200 *2021 -0.2561 *7819</f>
        <v>2300.5541</v>
      </c>
    </row>
    <row r="289">
      <c r="A289" s="108"/>
      <c r="B289" s="109"/>
      <c r="D289" s="108"/>
      <c r="E289" s="110"/>
    </row>
    <row r="290">
      <c r="A290" s="108"/>
      <c r="B290" s="109"/>
      <c r="D290" s="108"/>
      <c r="E290" s="111"/>
    </row>
    <row r="291">
      <c r="A291" s="108"/>
      <c r="B291" s="112"/>
      <c r="D291" s="108"/>
      <c r="E291" s="110"/>
    </row>
    <row r="292">
      <c r="A292" s="113"/>
      <c r="B292" s="114"/>
    </row>
    <row r="293">
      <c r="A293" s="113"/>
      <c r="B293" s="114"/>
    </row>
    <row r="294">
      <c r="A294" s="113"/>
      <c r="B294" s="114"/>
    </row>
    <row r="295">
      <c r="A295" s="113"/>
      <c r="B295" s="114"/>
    </row>
    <row r="296">
      <c r="A296" s="113"/>
      <c r="B296" s="114"/>
    </row>
    <row r="297">
      <c r="A297" s="113"/>
      <c r="B297" s="114"/>
    </row>
    <row r="298">
      <c r="A298" s="113"/>
      <c r="B298" s="114"/>
    </row>
    <row r="299">
      <c r="A299" s="113"/>
      <c r="B299" s="114"/>
    </row>
    <row r="300">
      <c r="A300" s="113"/>
      <c r="B300" s="114"/>
    </row>
    <row r="301">
      <c r="A301" s="113"/>
      <c r="B301" s="114"/>
    </row>
    <row r="302">
      <c r="A302" s="113"/>
      <c r="B302" s="114"/>
    </row>
    <row r="303">
      <c r="A303" s="113"/>
      <c r="B303" s="114"/>
    </row>
    <row r="304">
      <c r="A304" s="113"/>
      <c r="B304" s="114"/>
    </row>
    <row r="305">
      <c r="A305" s="113"/>
      <c r="B305" s="114"/>
    </row>
    <row r="306">
      <c r="A306" s="113"/>
      <c r="B306" s="114"/>
    </row>
    <row r="307">
      <c r="A307" s="113"/>
      <c r="B307" s="114"/>
    </row>
    <row r="308">
      <c r="A308" s="113"/>
      <c r="B308" s="114"/>
    </row>
    <row r="309">
      <c r="A309" s="113"/>
      <c r="B309" s="114"/>
    </row>
    <row r="310">
      <c r="A310" s="113"/>
      <c r="B310" s="114"/>
    </row>
    <row r="311">
      <c r="A311" s="113"/>
      <c r="B311" s="114"/>
    </row>
    <row r="312">
      <c r="A312" s="113"/>
      <c r="B312" s="114"/>
    </row>
    <row r="313">
      <c r="A313" s="113"/>
      <c r="B313" s="114"/>
    </row>
    <row r="314">
      <c r="A314" s="113"/>
      <c r="B314" s="114"/>
    </row>
    <row r="315">
      <c r="A315" s="113"/>
      <c r="B315" s="114"/>
    </row>
    <row r="316">
      <c r="A316" s="113"/>
      <c r="B316" s="114"/>
    </row>
    <row r="317">
      <c r="A317" s="113"/>
      <c r="B317" s="114"/>
    </row>
    <row r="318">
      <c r="A318" s="113"/>
      <c r="B318" s="114"/>
    </row>
    <row r="319">
      <c r="A319" s="113"/>
      <c r="B319" s="114"/>
    </row>
    <row r="320">
      <c r="A320" s="113"/>
      <c r="B320" s="114"/>
    </row>
    <row r="321">
      <c r="A321" s="113"/>
      <c r="B321" s="114"/>
    </row>
    <row r="322">
      <c r="A322" s="113"/>
      <c r="B322" s="114"/>
    </row>
    <row r="323">
      <c r="A323" s="113"/>
      <c r="B323" s="114"/>
    </row>
    <row r="324">
      <c r="A324" s="113"/>
      <c r="B324" s="114"/>
    </row>
    <row r="325">
      <c r="A325" s="113"/>
      <c r="B325" s="114"/>
    </row>
    <row r="326">
      <c r="A326" s="113"/>
      <c r="B326" s="114"/>
    </row>
    <row r="327">
      <c r="A327" s="113"/>
      <c r="B327" s="114"/>
    </row>
    <row r="328">
      <c r="A328" s="113"/>
      <c r="B328" s="114"/>
    </row>
    <row r="329">
      <c r="A329" s="113"/>
      <c r="B329" s="114"/>
    </row>
    <row r="330">
      <c r="A330" s="113"/>
      <c r="B330" s="114"/>
    </row>
    <row r="331">
      <c r="A331" s="113"/>
      <c r="B331" s="114"/>
    </row>
    <row r="332">
      <c r="A332" s="113"/>
      <c r="B332" s="114"/>
    </row>
    <row r="333">
      <c r="A333" s="113"/>
      <c r="B333" s="114"/>
    </row>
    <row r="334">
      <c r="A334" s="113"/>
      <c r="B334" s="114"/>
    </row>
    <row r="335">
      <c r="A335" s="113"/>
      <c r="B335" s="114"/>
    </row>
    <row r="336">
      <c r="A336" s="113"/>
      <c r="B336" s="114"/>
    </row>
    <row r="337">
      <c r="A337" s="113"/>
      <c r="B337" s="114"/>
    </row>
    <row r="338">
      <c r="A338" s="113"/>
      <c r="B338" s="114"/>
    </row>
    <row r="339">
      <c r="A339" s="113"/>
      <c r="B339" s="114"/>
    </row>
    <row r="340">
      <c r="A340" s="113"/>
      <c r="B340" s="114"/>
    </row>
    <row r="341">
      <c r="A341" s="113"/>
      <c r="B341" s="114"/>
    </row>
    <row r="342">
      <c r="A342" s="113"/>
      <c r="B342" s="114"/>
    </row>
    <row r="343">
      <c r="A343" s="113"/>
      <c r="B343" s="114"/>
    </row>
    <row r="344">
      <c r="A344" s="113"/>
      <c r="B344" s="114"/>
    </row>
    <row r="345">
      <c r="A345" s="113"/>
      <c r="B345" s="114"/>
    </row>
    <row r="346">
      <c r="A346" s="113"/>
      <c r="B346" s="114"/>
    </row>
    <row r="347">
      <c r="A347" s="113"/>
      <c r="B347" s="114"/>
    </row>
    <row r="348">
      <c r="A348" s="113"/>
      <c r="B348" s="114"/>
    </row>
    <row r="349">
      <c r="A349" s="113"/>
      <c r="B349" s="114"/>
    </row>
    <row r="350">
      <c r="A350" s="113"/>
      <c r="B350" s="114"/>
    </row>
    <row r="351">
      <c r="A351" s="113"/>
      <c r="B351" s="114"/>
    </row>
    <row r="352">
      <c r="A352" s="113"/>
      <c r="B352" s="114"/>
    </row>
    <row r="353">
      <c r="A353" s="113"/>
      <c r="B353" s="114"/>
    </row>
    <row r="354">
      <c r="A354" s="113"/>
      <c r="B354" s="114"/>
    </row>
    <row r="355">
      <c r="A355" s="113"/>
      <c r="B355" s="114"/>
    </row>
    <row r="356">
      <c r="A356" s="113"/>
      <c r="B356" s="114"/>
    </row>
    <row r="357">
      <c r="A357" s="113"/>
      <c r="B357" s="114"/>
    </row>
    <row r="358">
      <c r="A358" s="113"/>
      <c r="B358" s="114"/>
    </row>
    <row r="359">
      <c r="A359" s="113"/>
      <c r="B359" s="114"/>
    </row>
    <row r="360">
      <c r="A360" s="113"/>
      <c r="B360" s="114"/>
    </row>
    <row r="361">
      <c r="A361" s="113"/>
      <c r="B361" s="114"/>
    </row>
    <row r="362">
      <c r="A362" s="113"/>
      <c r="B362" s="114"/>
    </row>
    <row r="363">
      <c r="A363" s="113"/>
      <c r="B363" s="114"/>
    </row>
    <row r="364">
      <c r="A364" s="113"/>
      <c r="B364" s="114"/>
    </row>
    <row r="365">
      <c r="A365" s="113"/>
      <c r="B365" s="114"/>
    </row>
    <row r="366">
      <c r="A366" s="113"/>
      <c r="B366" s="114"/>
    </row>
    <row r="367">
      <c r="A367" s="113"/>
      <c r="B367" s="114"/>
    </row>
    <row r="368">
      <c r="A368" s="113"/>
      <c r="B368" s="114"/>
    </row>
    <row r="369">
      <c r="A369" s="113"/>
      <c r="B369" s="114"/>
    </row>
    <row r="370">
      <c r="A370" s="113"/>
      <c r="B370" s="114"/>
    </row>
    <row r="371">
      <c r="A371" s="113"/>
      <c r="B371" s="114"/>
    </row>
    <row r="372">
      <c r="A372" s="113"/>
      <c r="B372" s="114"/>
    </row>
    <row r="373">
      <c r="A373" s="113"/>
      <c r="B373" s="114"/>
    </row>
    <row r="374">
      <c r="A374" s="113"/>
      <c r="B374" s="114"/>
    </row>
    <row r="375">
      <c r="A375" s="113"/>
      <c r="B375" s="114"/>
    </row>
    <row r="376">
      <c r="A376" s="113"/>
      <c r="B376" s="114"/>
    </row>
    <row r="377">
      <c r="A377" s="113"/>
      <c r="B377" s="114"/>
    </row>
    <row r="378">
      <c r="A378" s="113"/>
      <c r="B378" s="114"/>
    </row>
    <row r="379">
      <c r="A379" s="113"/>
      <c r="B379" s="114"/>
    </row>
    <row r="380">
      <c r="A380" s="113"/>
      <c r="B380" s="114"/>
    </row>
    <row r="381">
      <c r="A381" s="113"/>
      <c r="B381" s="114"/>
    </row>
    <row r="382">
      <c r="A382" s="113"/>
      <c r="B382" s="114"/>
    </row>
    <row r="383">
      <c r="A383" s="113"/>
      <c r="B383" s="114"/>
    </row>
    <row r="384">
      <c r="A384" s="113"/>
      <c r="B384" s="114"/>
    </row>
    <row r="385">
      <c r="A385" s="113"/>
      <c r="B385" s="114"/>
    </row>
    <row r="386">
      <c r="A386" s="113"/>
      <c r="B386" s="114"/>
    </row>
    <row r="387">
      <c r="A387" s="113"/>
      <c r="B387" s="114"/>
    </row>
    <row r="388">
      <c r="A388" s="113"/>
      <c r="B388" s="114"/>
    </row>
    <row r="389">
      <c r="A389" s="113"/>
      <c r="B389" s="114"/>
    </row>
    <row r="390">
      <c r="A390" s="113"/>
      <c r="B390" s="114"/>
    </row>
    <row r="391">
      <c r="A391" s="113"/>
      <c r="B391" s="114"/>
    </row>
    <row r="392">
      <c r="A392" s="113"/>
      <c r="B392" s="114"/>
    </row>
    <row r="393">
      <c r="A393" s="113"/>
      <c r="B393" s="114"/>
    </row>
    <row r="394">
      <c r="A394" s="113"/>
      <c r="B394" s="114"/>
    </row>
    <row r="395">
      <c r="A395" s="113"/>
      <c r="B395" s="114"/>
    </row>
    <row r="396">
      <c r="A396" s="113"/>
      <c r="B396" s="114"/>
    </row>
    <row r="397">
      <c r="A397" s="113"/>
      <c r="B397" s="114"/>
    </row>
    <row r="398">
      <c r="A398" s="113"/>
      <c r="B398" s="114"/>
    </row>
    <row r="399">
      <c r="A399" s="113"/>
      <c r="B399" s="114"/>
    </row>
    <row r="400">
      <c r="A400" s="113"/>
      <c r="B400" s="114"/>
    </row>
    <row r="401">
      <c r="A401" s="113"/>
      <c r="B401" s="114"/>
    </row>
    <row r="402">
      <c r="A402" s="113"/>
      <c r="B402" s="114"/>
    </row>
    <row r="403">
      <c r="A403" s="113"/>
      <c r="B403" s="114"/>
    </row>
    <row r="404">
      <c r="A404" s="113"/>
      <c r="B404" s="114"/>
    </row>
    <row r="405">
      <c r="A405" s="113"/>
      <c r="B405" s="114"/>
    </row>
    <row r="406">
      <c r="A406" s="113"/>
      <c r="B406" s="114"/>
    </row>
    <row r="407">
      <c r="A407" s="113"/>
      <c r="B407" s="114"/>
    </row>
    <row r="408">
      <c r="A408" s="113"/>
      <c r="B408" s="114"/>
    </row>
    <row r="409">
      <c r="A409" s="113"/>
      <c r="B409" s="114"/>
    </row>
    <row r="410">
      <c r="A410" s="113"/>
      <c r="B410" s="114"/>
    </row>
    <row r="411">
      <c r="A411" s="113"/>
      <c r="B411" s="114"/>
    </row>
    <row r="412">
      <c r="A412" s="113"/>
      <c r="B412" s="114"/>
    </row>
    <row r="413">
      <c r="A413" s="113"/>
      <c r="B413" s="114"/>
    </row>
    <row r="414">
      <c r="A414" s="113"/>
      <c r="B414" s="114"/>
    </row>
    <row r="415">
      <c r="A415" s="113"/>
      <c r="B415" s="114"/>
    </row>
    <row r="416">
      <c r="A416" s="113"/>
      <c r="B416" s="114"/>
    </row>
    <row r="417">
      <c r="A417" s="113"/>
      <c r="B417" s="114"/>
    </row>
    <row r="418">
      <c r="A418" s="113"/>
      <c r="B418" s="114"/>
    </row>
    <row r="419">
      <c r="A419" s="113"/>
      <c r="B419" s="114"/>
    </row>
    <row r="420">
      <c r="A420" s="113"/>
      <c r="B420" s="114"/>
    </row>
    <row r="421">
      <c r="A421" s="113"/>
      <c r="B421" s="114"/>
    </row>
    <row r="422">
      <c r="A422" s="113"/>
      <c r="B422" s="114"/>
    </row>
    <row r="423">
      <c r="A423" s="113"/>
      <c r="B423" s="114"/>
    </row>
    <row r="424">
      <c r="A424" s="113"/>
      <c r="B424" s="114"/>
    </row>
    <row r="425">
      <c r="A425" s="113"/>
      <c r="B425" s="114"/>
    </row>
    <row r="426">
      <c r="A426" s="113"/>
      <c r="B426" s="114"/>
    </row>
    <row r="427">
      <c r="A427" s="113"/>
      <c r="B427" s="114"/>
    </row>
    <row r="428">
      <c r="A428" s="113"/>
      <c r="B428" s="114"/>
    </row>
    <row r="429">
      <c r="A429" s="113"/>
      <c r="B429" s="114"/>
    </row>
    <row r="430">
      <c r="A430" s="113"/>
      <c r="B430" s="114"/>
    </row>
    <row r="431">
      <c r="A431" s="113"/>
      <c r="B431" s="114"/>
    </row>
    <row r="432">
      <c r="A432" s="113"/>
      <c r="B432" s="114"/>
    </row>
    <row r="433">
      <c r="A433" s="113"/>
      <c r="B433" s="114"/>
    </row>
    <row r="434">
      <c r="A434" s="113"/>
      <c r="B434" s="114"/>
    </row>
    <row r="435">
      <c r="A435" s="113"/>
      <c r="B435" s="114"/>
    </row>
    <row r="436">
      <c r="A436" s="113"/>
      <c r="B436" s="114"/>
    </row>
    <row r="437">
      <c r="A437" s="113"/>
      <c r="B437" s="114"/>
    </row>
    <row r="438">
      <c r="A438" s="113"/>
      <c r="B438" s="114"/>
    </row>
    <row r="439">
      <c r="A439" s="113"/>
      <c r="B439" s="114"/>
    </row>
    <row r="440">
      <c r="A440" s="113"/>
      <c r="B440" s="114"/>
    </row>
    <row r="441">
      <c r="A441" s="113"/>
      <c r="B441" s="114"/>
    </row>
    <row r="442">
      <c r="A442" s="113"/>
      <c r="B442" s="114"/>
    </row>
    <row r="443">
      <c r="A443" s="113"/>
      <c r="B443" s="114"/>
    </row>
    <row r="444">
      <c r="A444" s="113"/>
      <c r="B444" s="114"/>
    </row>
    <row r="445">
      <c r="A445" s="113"/>
      <c r="B445" s="114"/>
    </row>
    <row r="446">
      <c r="A446" s="113"/>
      <c r="B446" s="114"/>
    </row>
    <row r="447">
      <c r="A447" s="113"/>
      <c r="B447" s="114"/>
    </row>
    <row r="448">
      <c r="A448" s="113"/>
      <c r="B448" s="114"/>
    </row>
    <row r="449">
      <c r="A449" s="113"/>
      <c r="B449" s="114"/>
    </row>
    <row r="450">
      <c r="A450" s="113"/>
      <c r="B450" s="114"/>
    </row>
    <row r="451">
      <c r="A451" s="113"/>
      <c r="B451" s="114"/>
    </row>
    <row r="452">
      <c r="A452" s="113"/>
      <c r="B452" s="114"/>
    </row>
    <row r="453">
      <c r="A453" s="113"/>
      <c r="B453" s="114"/>
    </row>
    <row r="454">
      <c r="A454" s="113"/>
      <c r="B454" s="114"/>
    </row>
    <row r="455">
      <c r="A455" s="113"/>
      <c r="B455" s="114"/>
    </row>
    <row r="456">
      <c r="A456" s="113"/>
      <c r="B456" s="114"/>
    </row>
    <row r="457">
      <c r="A457" s="113"/>
      <c r="B457" s="114"/>
    </row>
    <row r="458">
      <c r="A458" s="113"/>
      <c r="B458" s="114"/>
    </row>
    <row r="459">
      <c r="A459" s="113"/>
      <c r="B459" s="114"/>
    </row>
    <row r="460">
      <c r="A460" s="113"/>
      <c r="B460" s="114"/>
    </row>
    <row r="461">
      <c r="A461" s="113"/>
      <c r="B461" s="114"/>
    </row>
    <row r="462">
      <c r="A462" s="113"/>
      <c r="B462" s="114"/>
    </row>
    <row r="463">
      <c r="A463" s="113"/>
      <c r="B463" s="114"/>
    </row>
    <row r="464">
      <c r="A464" s="113"/>
      <c r="B464" s="114"/>
    </row>
    <row r="465">
      <c r="A465" s="113"/>
      <c r="B465" s="114"/>
    </row>
    <row r="466">
      <c r="A466" s="113"/>
      <c r="B466" s="114"/>
    </row>
    <row r="467">
      <c r="A467" s="113"/>
      <c r="B467" s="114"/>
    </row>
    <row r="468">
      <c r="A468" s="113"/>
      <c r="B468" s="114"/>
    </row>
    <row r="469">
      <c r="A469" s="113"/>
      <c r="B469" s="114"/>
    </row>
    <row r="470">
      <c r="A470" s="113"/>
      <c r="B470" s="114"/>
    </row>
    <row r="471">
      <c r="A471" s="113"/>
      <c r="B471" s="114"/>
    </row>
    <row r="472">
      <c r="A472" s="113"/>
      <c r="B472" s="114"/>
    </row>
    <row r="473">
      <c r="A473" s="113"/>
      <c r="B473" s="114"/>
    </row>
    <row r="474">
      <c r="A474" s="113"/>
      <c r="B474" s="114"/>
    </row>
    <row r="475">
      <c r="A475" s="113"/>
      <c r="B475" s="114"/>
    </row>
    <row r="476">
      <c r="A476" s="113"/>
      <c r="B476" s="114"/>
    </row>
    <row r="477">
      <c r="A477" s="113"/>
      <c r="B477" s="114"/>
    </row>
    <row r="478">
      <c r="A478" s="113"/>
      <c r="B478" s="114"/>
    </row>
    <row r="479">
      <c r="A479" s="113"/>
      <c r="B479" s="114"/>
    </row>
    <row r="480">
      <c r="A480" s="113"/>
      <c r="B480" s="114"/>
    </row>
    <row r="481">
      <c r="A481" s="113"/>
      <c r="B481" s="114"/>
    </row>
    <row r="482">
      <c r="A482" s="113"/>
      <c r="B482" s="114"/>
    </row>
    <row r="483">
      <c r="A483" s="113"/>
      <c r="B483" s="114"/>
    </row>
    <row r="484">
      <c r="A484" s="113"/>
      <c r="B484" s="114"/>
    </row>
    <row r="485">
      <c r="A485" s="113"/>
      <c r="B485" s="114"/>
    </row>
    <row r="486">
      <c r="A486" s="113"/>
      <c r="B486" s="114"/>
    </row>
    <row r="487">
      <c r="A487" s="113"/>
      <c r="B487" s="114"/>
    </row>
    <row r="488">
      <c r="A488" s="113"/>
      <c r="B488" s="114"/>
    </row>
    <row r="489">
      <c r="A489" s="113"/>
      <c r="B489" s="114"/>
    </row>
    <row r="490">
      <c r="A490" s="113"/>
      <c r="B490" s="114"/>
    </row>
    <row r="491">
      <c r="A491" s="113"/>
      <c r="B491" s="114"/>
    </row>
    <row r="492">
      <c r="A492" s="113"/>
      <c r="B492" s="114"/>
    </row>
    <row r="493">
      <c r="A493" s="113"/>
      <c r="B493" s="114"/>
    </row>
    <row r="494">
      <c r="A494" s="113"/>
      <c r="B494" s="114"/>
    </row>
    <row r="495">
      <c r="A495" s="113"/>
      <c r="B495" s="114"/>
    </row>
    <row r="496">
      <c r="A496" s="113"/>
      <c r="B496" s="114"/>
    </row>
    <row r="497">
      <c r="A497" s="113"/>
      <c r="B497" s="114"/>
    </row>
    <row r="498">
      <c r="A498" s="113"/>
      <c r="B498" s="114"/>
    </row>
    <row r="499">
      <c r="A499" s="113"/>
      <c r="B499" s="114"/>
    </row>
    <row r="500">
      <c r="A500" s="113"/>
      <c r="B500" s="114"/>
    </row>
    <row r="501">
      <c r="A501" s="113"/>
      <c r="B501" s="114"/>
    </row>
    <row r="502">
      <c r="A502" s="113"/>
      <c r="B502" s="114"/>
    </row>
    <row r="503">
      <c r="A503" s="113"/>
      <c r="B503" s="114"/>
    </row>
    <row r="504">
      <c r="A504" s="113"/>
      <c r="B504" s="114"/>
    </row>
    <row r="505">
      <c r="A505" s="113"/>
      <c r="B505" s="114"/>
    </row>
    <row r="506">
      <c r="A506" s="113"/>
      <c r="B506" s="114"/>
    </row>
    <row r="507">
      <c r="A507" s="113"/>
      <c r="B507" s="114"/>
    </row>
    <row r="508">
      <c r="A508" s="113"/>
      <c r="B508" s="114"/>
    </row>
    <row r="509">
      <c r="A509" s="113"/>
      <c r="B509" s="114"/>
    </row>
    <row r="510">
      <c r="A510" s="113"/>
      <c r="B510" s="114"/>
    </row>
    <row r="511">
      <c r="A511" s="113"/>
      <c r="B511" s="114"/>
    </row>
    <row r="512">
      <c r="A512" s="113"/>
      <c r="B512" s="114"/>
    </row>
    <row r="513">
      <c r="A513" s="113"/>
      <c r="B513" s="114"/>
    </row>
    <row r="514">
      <c r="A514" s="113"/>
      <c r="B514" s="114"/>
    </row>
    <row r="515">
      <c r="A515" s="113"/>
      <c r="B515" s="114"/>
    </row>
    <row r="516">
      <c r="A516" s="113"/>
      <c r="B516" s="114"/>
    </row>
    <row r="517">
      <c r="A517" s="113"/>
      <c r="B517" s="114"/>
    </row>
    <row r="518">
      <c r="A518" s="113"/>
      <c r="B518" s="114"/>
    </row>
    <row r="519">
      <c r="A519" s="113"/>
      <c r="B519" s="114"/>
    </row>
    <row r="520">
      <c r="A520" s="113"/>
      <c r="B520" s="114"/>
    </row>
    <row r="521">
      <c r="A521" s="113"/>
      <c r="B521" s="114"/>
    </row>
    <row r="522">
      <c r="A522" s="113"/>
      <c r="B522" s="114"/>
    </row>
    <row r="523">
      <c r="A523" s="113"/>
      <c r="B523" s="114"/>
    </row>
    <row r="524">
      <c r="A524" s="113"/>
      <c r="B524" s="114"/>
    </row>
    <row r="525">
      <c r="A525" s="113"/>
      <c r="B525" s="114"/>
    </row>
    <row r="526">
      <c r="A526" s="113"/>
      <c r="B526" s="114"/>
    </row>
    <row r="527">
      <c r="A527" s="113"/>
      <c r="B527" s="114"/>
    </row>
    <row r="528">
      <c r="A528" s="113"/>
      <c r="B528" s="114"/>
    </row>
    <row r="529">
      <c r="A529" s="113"/>
      <c r="B529" s="114"/>
    </row>
    <row r="530">
      <c r="A530" s="113"/>
      <c r="B530" s="114"/>
    </row>
    <row r="531">
      <c r="A531" s="113"/>
      <c r="B531" s="114"/>
    </row>
    <row r="532">
      <c r="A532" s="113"/>
      <c r="B532" s="114"/>
    </row>
    <row r="533">
      <c r="A533" s="113"/>
      <c r="B533" s="114"/>
    </row>
    <row r="534">
      <c r="A534" s="113"/>
      <c r="B534" s="114"/>
    </row>
    <row r="535">
      <c r="A535" s="113"/>
      <c r="B535" s="114"/>
    </row>
    <row r="536">
      <c r="A536" s="113"/>
      <c r="B536" s="114"/>
    </row>
    <row r="537">
      <c r="A537" s="113"/>
      <c r="B537" s="114"/>
    </row>
    <row r="538">
      <c r="A538" s="113"/>
      <c r="B538" s="114"/>
    </row>
    <row r="539">
      <c r="A539" s="113"/>
      <c r="B539" s="114"/>
    </row>
    <row r="540">
      <c r="A540" s="113"/>
      <c r="B540" s="114"/>
    </row>
    <row r="541">
      <c r="A541" s="113"/>
      <c r="B541" s="114"/>
    </row>
    <row r="542">
      <c r="A542" s="113"/>
      <c r="B542" s="114"/>
    </row>
    <row r="543">
      <c r="A543" s="113"/>
      <c r="B543" s="114"/>
    </row>
    <row r="544">
      <c r="A544" s="113"/>
      <c r="B544" s="114"/>
    </row>
    <row r="545">
      <c r="A545" s="113"/>
      <c r="B545" s="114"/>
    </row>
    <row r="546">
      <c r="A546" s="113"/>
      <c r="B546" s="114"/>
    </row>
    <row r="547">
      <c r="A547" s="113"/>
      <c r="B547" s="114"/>
    </row>
    <row r="548">
      <c r="A548" s="113"/>
      <c r="B548" s="114"/>
    </row>
    <row r="549">
      <c r="A549" s="113"/>
      <c r="B549" s="114"/>
    </row>
    <row r="550">
      <c r="A550" s="113"/>
      <c r="B550" s="114"/>
    </row>
    <row r="551">
      <c r="A551" s="113"/>
      <c r="B551" s="114"/>
    </row>
    <row r="552">
      <c r="A552" s="113"/>
      <c r="B552" s="114"/>
    </row>
    <row r="553">
      <c r="A553" s="113"/>
      <c r="B553" s="114"/>
    </row>
    <row r="554">
      <c r="A554" s="113"/>
      <c r="B554" s="114"/>
    </row>
    <row r="555">
      <c r="A555" s="113"/>
      <c r="B555" s="114"/>
    </row>
    <row r="556">
      <c r="A556" s="113"/>
      <c r="B556" s="114"/>
    </row>
    <row r="557">
      <c r="A557" s="113"/>
      <c r="B557" s="114"/>
    </row>
    <row r="558">
      <c r="A558" s="113"/>
      <c r="B558" s="114"/>
    </row>
    <row r="559">
      <c r="A559" s="113"/>
      <c r="B559" s="114"/>
    </row>
    <row r="560">
      <c r="A560" s="113"/>
      <c r="B560" s="114"/>
    </row>
    <row r="561">
      <c r="A561" s="113"/>
      <c r="B561" s="114"/>
    </row>
    <row r="562">
      <c r="A562" s="113"/>
      <c r="B562" s="114"/>
    </row>
    <row r="563">
      <c r="A563" s="113"/>
      <c r="B563" s="114"/>
    </row>
    <row r="564">
      <c r="A564" s="113"/>
      <c r="B564" s="114"/>
    </row>
    <row r="565">
      <c r="A565" s="113"/>
      <c r="B565" s="114"/>
    </row>
    <row r="566">
      <c r="A566" s="113"/>
      <c r="B566" s="114"/>
    </row>
    <row r="567">
      <c r="A567" s="113"/>
      <c r="B567" s="114"/>
    </row>
    <row r="568">
      <c r="A568" s="113"/>
      <c r="B568" s="114"/>
    </row>
    <row r="569">
      <c r="A569" s="113"/>
      <c r="B569" s="114"/>
    </row>
    <row r="570">
      <c r="A570" s="113"/>
      <c r="B570" s="114"/>
    </row>
    <row r="571">
      <c r="A571" s="113"/>
      <c r="B571" s="114"/>
    </row>
    <row r="572">
      <c r="A572" s="113"/>
      <c r="B572" s="114"/>
    </row>
    <row r="573">
      <c r="A573" s="113"/>
      <c r="B573" s="114"/>
    </row>
    <row r="574">
      <c r="A574" s="113"/>
      <c r="B574" s="114"/>
    </row>
    <row r="575">
      <c r="A575" s="113"/>
      <c r="B575" s="114"/>
    </row>
    <row r="576">
      <c r="A576" s="113"/>
      <c r="B576" s="114"/>
    </row>
    <row r="577">
      <c r="A577" s="113"/>
      <c r="B577" s="114"/>
    </row>
    <row r="578">
      <c r="A578" s="113"/>
      <c r="B578" s="114"/>
    </row>
    <row r="579">
      <c r="A579" s="113"/>
      <c r="B579" s="114"/>
    </row>
    <row r="580">
      <c r="A580" s="113"/>
      <c r="B580" s="114"/>
    </row>
    <row r="581">
      <c r="A581" s="113"/>
      <c r="B581" s="114"/>
    </row>
    <row r="582">
      <c r="A582" s="113"/>
      <c r="B582" s="114"/>
    </row>
    <row r="583">
      <c r="A583" s="113"/>
      <c r="B583" s="114"/>
    </row>
    <row r="584">
      <c r="A584" s="113"/>
      <c r="B584" s="114"/>
    </row>
    <row r="585">
      <c r="A585" s="113"/>
      <c r="B585" s="114"/>
    </row>
    <row r="586">
      <c r="A586" s="113"/>
      <c r="B586" s="114"/>
    </row>
    <row r="587">
      <c r="A587" s="113"/>
      <c r="B587" s="114"/>
    </row>
    <row r="588">
      <c r="A588" s="113"/>
      <c r="B588" s="114"/>
    </row>
    <row r="589">
      <c r="A589" s="113"/>
      <c r="B589" s="114"/>
    </row>
    <row r="590">
      <c r="A590" s="113"/>
      <c r="B590" s="114"/>
    </row>
    <row r="591">
      <c r="A591" s="113"/>
      <c r="B591" s="114"/>
    </row>
    <row r="592">
      <c r="A592" s="113"/>
      <c r="B592" s="114"/>
    </row>
    <row r="593">
      <c r="A593" s="113"/>
      <c r="B593" s="114"/>
    </row>
    <row r="594">
      <c r="A594" s="113"/>
      <c r="B594" s="114"/>
    </row>
    <row r="595">
      <c r="A595" s="113"/>
      <c r="B595" s="114"/>
    </row>
    <row r="596">
      <c r="A596" s="113"/>
      <c r="B596" s="114"/>
    </row>
    <row r="597">
      <c r="A597" s="113"/>
      <c r="B597" s="114"/>
    </row>
    <row r="598">
      <c r="A598" s="113"/>
      <c r="B598" s="114"/>
    </row>
    <row r="599">
      <c r="A599" s="113"/>
      <c r="B599" s="114"/>
    </row>
    <row r="600">
      <c r="A600" s="113"/>
      <c r="B600" s="114"/>
    </row>
    <row r="601">
      <c r="A601" s="113"/>
      <c r="B601" s="114"/>
    </row>
    <row r="602">
      <c r="A602" s="113"/>
      <c r="B602" s="114"/>
    </row>
    <row r="603">
      <c r="A603" s="113"/>
      <c r="B603" s="114"/>
    </row>
    <row r="604">
      <c r="A604" s="113"/>
      <c r="B604" s="114"/>
    </row>
    <row r="605">
      <c r="A605" s="113"/>
      <c r="B605" s="114"/>
    </row>
    <row r="606">
      <c r="A606" s="113"/>
      <c r="B606" s="114"/>
    </row>
    <row r="607">
      <c r="A607" s="113"/>
      <c r="B607" s="114"/>
    </row>
    <row r="608">
      <c r="A608" s="113"/>
      <c r="B608" s="114"/>
    </row>
    <row r="609">
      <c r="A609" s="113"/>
      <c r="B609" s="114"/>
    </row>
    <row r="610">
      <c r="A610" s="113"/>
      <c r="B610" s="114"/>
    </row>
    <row r="611">
      <c r="A611" s="113"/>
      <c r="B611" s="114"/>
    </row>
    <row r="612">
      <c r="A612" s="113"/>
      <c r="B612" s="114"/>
    </row>
    <row r="613">
      <c r="A613" s="113"/>
      <c r="B613" s="114"/>
    </row>
    <row r="614">
      <c r="A614" s="113"/>
      <c r="B614" s="114"/>
    </row>
    <row r="615">
      <c r="A615" s="113"/>
      <c r="B615" s="114"/>
    </row>
    <row r="616">
      <c r="A616" s="113"/>
      <c r="B616" s="114"/>
    </row>
    <row r="617">
      <c r="A617" s="113"/>
      <c r="B617" s="114"/>
    </row>
    <row r="618">
      <c r="A618" s="113"/>
      <c r="B618" s="114"/>
    </row>
    <row r="619">
      <c r="A619" s="113"/>
      <c r="B619" s="114"/>
    </row>
    <row r="620">
      <c r="A620" s="113"/>
      <c r="B620" s="114"/>
    </row>
    <row r="621">
      <c r="A621" s="113"/>
      <c r="B621" s="114"/>
    </row>
    <row r="622">
      <c r="A622" s="113"/>
      <c r="B622" s="114"/>
    </row>
    <row r="623">
      <c r="A623" s="113"/>
      <c r="B623" s="114"/>
    </row>
    <row r="624">
      <c r="A624" s="113"/>
      <c r="B624" s="114"/>
    </row>
    <row r="625">
      <c r="A625" s="113"/>
      <c r="B625" s="114"/>
    </row>
    <row r="626">
      <c r="A626" s="113"/>
      <c r="B626" s="114"/>
    </row>
    <row r="627">
      <c r="A627" s="113"/>
      <c r="B627" s="114"/>
    </row>
    <row r="628">
      <c r="A628" s="113"/>
      <c r="B628" s="114"/>
    </row>
    <row r="629">
      <c r="A629" s="113"/>
      <c r="B629" s="114"/>
    </row>
    <row r="630">
      <c r="A630" s="113"/>
      <c r="B630" s="114"/>
    </row>
    <row r="631">
      <c r="A631" s="113"/>
      <c r="B631" s="114"/>
    </row>
    <row r="632">
      <c r="A632" s="113"/>
      <c r="B632" s="114"/>
    </row>
    <row r="633">
      <c r="A633" s="113"/>
      <c r="B633" s="114"/>
    </row>
    <row r="634">
      <c r="A634" s="113"/>
      <c r="B634" s="114"/>
    </row>
    <row r="635">
      <c r="A635" s="113"/>
      <c r="B635" s="114"/>
    </row>
    <row r="636">
      <c r="A636" s="113"/>
      <c r="B636" s="114"/>
    </row>
    <row r="637">
      <c r="A637" s="113"/>
      <c r="B637" s="114"/>
    </row>
    <row r="638">
      <c r="A638" s="113"/>
      <c r="B638" s="114"/>
    </row>
    <row r="639">
      <c r="A639" s="113"/>
      <c r="B639" s="114"/>
    </row>
    <row r="640">
      <c r="A640" s="113"/>
      <c r="B640" s="114"/>
    </row>
    <row r="641">
      <c r="A641" s="113"/>
      <c r="B641" s="114"/>
    </row>
    <row r="642">
      <c r="A642" s="113"/>
      <c r="B642" s="114"/>
    </row>
    <row r="643">
      <c r="A643" s="113"/>
      <c r="B643" s="114"/>
    </row>
    <row r="644">
      <c r="A644" s="113"/>
      <c r="B644" s="114"/>
    </row>
    <row r="645">
      <c r="A645" s="113"/>
      <c r="B645" s="114"/>
    </row>
    <row r="646">
      <c r="A646" s="113"/>
      <c r="B646" s="114"/>
    </row>
    <row r="647">
      <c r="A647" s="113"/>
      <c r="B647" s="114"/>
    </row>
    <row r="648">
      <c r="A648" s="113"/>
      <c r="B648" s="114"/>
    </row>
    <row r="649">
      <c r="A649" s="113"/>
      <c r="B649" s="114"/>
    </row>
    <row r="650">
      <c r="A650" s="113"/>
      <c r="B650" s="114"/>
    </row>
    <row r="651">
      <c r="A651" s="113"/>
      <c r="B651" s="114"/>
    </row>
    <row r="652">
      <c r="A652" s="113"/>
      <c r="B652" s="114"/>
    </row>
    <row r="653">
      <c r="A653" s="113"/>
      <c r="B653" s="114"/>
    </row>
    <row r="654">
      <c r="A654" s="113"/>
      <c r="B654" s="114"/>
    </row>
    <row r="655">
      <c r="A655" s="113"/>
      <c r="B655" s="114"/>
    </row>
    <row r="656">
      <c r="A656" s="113"/>
      <c r="B656" s="114"/>
    </row>
    <row r="657">
      <c r="A657" s="113"/>
      <c r="B657" s="114"/>
    </row>
    <row r="658">
      <c r="A658" s="113"/>
      <c r="B658" s="114"/>
    </row>
    <row r="659">
      <c r="A659" s="113"/>
      <c r="B659" s="114"/>
    </row>
    <row r="660">
      <c r="A660" s="113"/>
      <c r="B660" s="114"/>
    </row>
    <row r="661">
      <c r="A661" s="113"/>
      <c r="B661" s="114"/>
    </row>
    <row r="662">
      <c r="A662" s="113"/>
      <c r="B662" s="114"/>
    </row>
    <row r="663">
      <c r="A663" s="113"/>
      <c r="B663" s="114"/>
    </row>
    <row r="664">
      <c r="A664" s="113"/>
      <c r="B664" s="114"/>
    </row>
    <row r="665">
      <c r="A665" s="113"/>
      <c r="B665" s="114"/>
    </row>
    <row r="666">
      <c r="A666" s="113"/>
      <c r="B666" s="114"/>
    </row>
    <row r="667">
      <c r="A667" s="113"/>
      <c r="B667" s="114"/>
    </row>
    <row r="668">
      <c r="A668" s="113"/>
      <c r="B668" s="114"/>
    </row>
    <row r="669">
      <c r="A669" s="113"/>
      <c r="B669" s="114"/>
    </row>
    <row r="670">
      <c r="A670" s="113"/>
      <c r="B670" s="114"/>
    </row>
    <row r="671">
      <c r="A671" s="113"/>
      <c r="B671" s="114"/>
    </row>
    <row r="672">
      <c r="A672" s="113"/>
      <c r="B672" s="114"/>
    </row>
    <row r="673">
      <c r="A673" s="113"/>
      <c r="B673" s="114"/>
    </row>
    <row r="674">
      <c r="A674" s="113"/>
      <c r="B674" s="114"/>
    </row>
    <row r="675">
      <c r="A675" s="113"/>
      <c r="B675" s="114"/>
    </row>
    <row r="676">
      <c r="A676" s="113"/>
      <c r="B676" s="114"/>
    </row>
    <row r="677">
      <c r="A677" s="113"/>
      <c r="B677" s="114"/>
    </row>
    <row r="678">
      <c r="A678" s="113"/>
      <c r="B678" s="114"/>
    </row>
    <row r="679">
      <c r="A679" s="113"/>
      <c r="B679" s="114"/>
    </row>
    <row r="680">
      <c r="A680" s="113"/>
      <c r="B680" s="114"/>
    </row>
    <row r="681">
      <c r="A681" s="113"/>
      <c r="B681" s="114"/>
    </row>
    <row r="682">
      <c r="A682" s="113"/>
      <c r="B682" s="114"/>
    </row>
    <row r="683">
      <c r="A683" s="113"/>
      <c r="B683" s="114"/>
    </row>
    <row r="684">
      <c r="A684" s="113"/>
      <c r="B684" s="114"/>
    </row>
    <row r="685">
      <c r="A685" s="113"/>
      <c r="B685" s="114"/>
    </row>
    <row r="686">
      <c r="A686" s="113"/>
      <c r="B686" s="114"/>
    </row>
    <row r="687">
      <c r="A687" s="113"/>
      <c r="B687" s="114"/>
    </row>
    <row r="688">
      <c r="A688" s="113"/>
      <c r="B688" s="114"/>
    </row>
    <row r="689">
      <c r="A689" s="113"/>
      <c r="B689" s="114"/>
    </row>
    <row r="690">
      <c r="A690" s="113"/>
      <c r="B690" s="114"/>
    </row>
    <row r="691">
      <c r="A691" s="113"/>
      <c r="B691" s="114"/>
    </row>
    <row r="692">
      <c r="A692" s="113"/>
      <c r="B692" s="114"/>
    </row>
    <row r="693">
      <c r="A693" s="113"/>
      <c r="B693" s="114"/>
    </row>
    <row r="694">
      <c r="A694" s="113"/>
      <c r="B694" s="114"/>
    </row>
    <row r="695">
      <c r="A695" s="113"/>
      <c r="B695" s="114"/>
    </row>
    <row r="696">
      <c r="A696" s="113"/>
      <c r="B696" s="114"/>
    </row>
    <row r="697">
      <c r="A697" s="113"/>
      <c r="B697" s="114"/>
    </row>
    <row r="698">
      <c r="A698" s="113"/>
      <c r="B698" s="114"/>
    </row>
    <row r="699">
      <c r="A699" s="113"/>
      <c r="B699" s="114"/>
    </row>
    <row r="700">
      <c r="A700" s="113"/>
      <c r="B700" s="114"/>
    </row>
    <row r="701">
      <c r="A701" s="113"/>
      <c r="B701" s="114"/>
    </row>
    <row r="702">
      <c r="A702" s="113"/>
      <c r="B702" s="114"/>
    </row>
    <row r="703">
      <c r="A703" s="113"/>
      <c r="B703" s="114"/>
    </row>
    <row r="704">
      <c r="A704" s="113"/>
      <c r="B704" s="114"/>
    </row>
    <row r="705">
      <c r="A705" s="113"/>
      <c r="B705" s="114"/>
    </row>
    <row r="706">
      <c r="A706" s="113"/>
      <c r="B706" s="114"/>
    </row>
    <row r="707">
      <c r="A707" s="113"/>
      <c r="B707" s="114"/>
    </row>
    <row r="708">
      <c r="A708" s="113"/>
      <c r="B708" s="114"/>
    </row>
    <row r="709">
      <c r="A709" s="113"/>
      <c r="B709" s="114"/>
    </row>
    <row r="710">
      <c r="A710" s="113"/>
      <c r="B710" s="114"/>
    </row>
    <row r="711">
      <c r="A711" s="113"/>
      <c r="B711" s="114"/>
    </row>
    <row r="712">
      <c r="A712" s="113"/>
      <c r="B712" s="114"/>
    </row>
    <row r="713">
      <c r="A713" s="113"/>
      <c r="B713" s="114"/>
    </row>
    <row r="714">
      <c r="A714" s="113"/>
      <c r="B714" s="114"/>
    </row>
    <row r="715">
      <c r="A715" s="113"/>
      <c r="B715" s="114"/>
    </row>
    <row r="716">
      <c r="A716" s="113"/>
      <c r="B716" s="114"/>
    </row>
    <row r="717">
      <c r="A717" s="113"/>
      <c r="B717" s="114"/>
    </row>
    <row r="718">
      <c r="A718" s="113"/>
      <c r="B718" s="114"/>
    </row>
    <row r="719">
      <c r="A719" s="113"/>
      <c r="B719" s="114"/>
    </row>
    <row r="720">
      <c r="A720" s="113"/>
      <c r="B720" s="114"/>
    </row>
    <row r="721">
      <c r="A721" s="113"/>
      <c r="B721" s="114"/>
    </row>
    <row r="722">
      <c r="A722" s="113"/>
      <c r="B722" s="114"/>
    </row>
    <row r="723">
      <c r="A723" s="113"/>
      <c r="B723" s="114"/>
    </row>
    <row r="724">
      <c r="A724" s="113"/>
      <c r="B724" s="114"/>
    </row>
    <row r="725">
      <c r="A725" s="113"/>
      <c r="B725" s="114"/>
    </row>
    <row r="726">
      <c r="A726" s="113"/>
      <c r="B726" s="114"/>
    </row>
    <row r="727">
      <c r="A727" s="113"/>
      <c r="B727" s="114"/>
    </row>
    <row r="728">
      <c r="A728" s="113"/>
      <c r="B728" s="114"/>
    </row>
    <row r="729">
      <c r="A729" s="113"/>
      <c r="B729" s="114"/>
    </row>
    <row r="730">
      <c r="A730" s="113"/>
      <c r="B730" s="114"/>
    </row>
    <row r="731">
      <c r="A731" s="113"/>
      <c r="B731" s="114"/>
    </row>
    <row r="732">
      <c r="A732" s="113"/>
      <c r="B732" s="114"/>
    </row>
    <row r="733">
      <c r="A733" s="113"/>
      <c r="B733" s="114"/>
    </row>
    <row r="734">
      <c r="A734" s="113"/>
      <c r="B734" s="114"/>
    </row>
    <row r="735">
      <c r="A735" s="113"/>
      <c r="B735" s="114"/>
    </row>
    <row r="736">
      <c r="A736" s="113"/>
      <c r="B736" s="114"/>
    </row>
    <row r="737">
      <c r="A737" s="113"/>
      <c r="B737" s="114"/>
    </row>
    <row r="738">
      <c r="A738" s="113"/>
      <c r="B738" s="114"/>
    </row>
    <row r="739">
      <c r="A739" s="113"/>
      <c r="B739" s="114"/>
    </row>
    <row r="740">
      <c r="A740" s="113"/>
      <c r="B740" s="114"/>
    </row>
    <row r="741">
      <c r="A741" s="113"/>
      <c r="B741" s="114"/>
    </row>
    <row r="742">
      <c r="A742" s="113"/>
      <c r="B742" s="114"/>
    </row>
    <row r="743">
      <c r="A743" s="113"/>
      <c r="B743" s="114"/>
    </row>
    <row r="744">
      <c r="A744" s="113"/>
      <c r="B744" s="114"/>
    </row>
    <row r="745">
      <c r="A745" s="113"/>
      <c r="B745" s="114"/>
    </row>
    <row r="746">
      <c r="A746" s="113"/>
      <c r="B746" s="114"/>
    </row>
    <row r="747">
      <c r="A747" s="113"/>
      <c r="B747" s="114"/>
    </row>
    <row r="748">
      <c r="A748" s="113"/>
      <c r="B748" s="114"/>
    </row>
    <row r="749">
      <c r="A749" s="113"/>
      <c r="B749" s="114"/>
    </row>
    <row r="750">
      <c r="A750" s="113"/>
      <c r="B750" s="114"/>
    </row>
    <row r="751">
      <c r="A751" s="113"/>
      <c r="B751" s="114"/>
    </row>
    <row r="752">
      <c r="A752" s="113"/>
      <c r="B752" s="114"/>
    </row>
    <row r="753">
      <c r="A753" s="113"/>
      <c r="B753" s="114"/>
    </row>
    <row r="754">
      <c r="A754" s="113"/>
      <c r="B754" s="114"/>
    </row>
    <row r="755">
      <c r="A755" s="113"/>
      <c r="B755" s="114"/>
    </row>
    <row r="756">
      <c r="A756" s="113"/>
      <c r="B756" s="114"/>
    </row>
    <row r="757">
      <c r="A757" s="113"/>
      <c r="B757" s="114"/>
    </row>
    <row r="758">
      <c r="A758" s="113"/>
      <c r="B758" s="114"/>
    </row>
    <row r="759">
      <c r="A759" s="113"/>
      <c r="B759" s="114"/>
    </row>
    <row r="760">
      <c r="A760" s="113"/>
      <c r="B760" s="114"/>
    </row>
    <row r="761">
      <c r="A761" s="113"/>
      <c r="B761" s="114"/>
    </row>
    <row r="762">
      <c r="A762" s="113"/>
      <c r="B762" s="114"/>
    </row>
    <row r="763">
      <c r="A763" s="113"/>
      <c r="B763" s="114"/>
    </row>
    <row r="764">
      <c r="A764" s="113"/>
      <c r="B764" s="114"/>
    </row>
    <row r="765">
      <c r="A765" s="113"/>
      <c r="B765" s="114"/>
    </row>
    <row r="766">
      <c r="A766" s="113"/>
      <c r="B766" s="114"/>
    </row>
    <row r="767">
      <c r="A767" s="113"/>
      <c r="B767" s="114"/>
    </row>
    <row r="768">
      <c r="A768" s="113"/>
      <c r="B768" s="114"/>
    </row>
    <row r="769">
      <c r="A769" s="113"/>
      <c r="B769" s="114"/>
    </row>
    <row r="770">
      <c r="A770" s="113"/>
      <c r="B770" s="114"/>
    </row>
    <row r="771">
      <c r="A771" s="113"/>
      <c r="B771" s="114"/>
    </row>
    <row r="772">
      <c r="A772" s="113"/>
      <c r="B772" s="114"/>
    </row>
    <row r="773">
      <c r="A773" s="113"/>
      <c r="B773" s="114"/>
    </row>
    <row r="774">
      <c r="A774" s="113"/>
      <c r="B774" s="114"/>
    </row>
    <row r="775">
      <c r="A775" s="113"/>
      <c r="B775" s="114"/>
    </row>
    <row r="776">
      <c r="A776" s="113"/>
      <c r="B776" s="114"/>
    </row>
    <row r="777">
      <c r="A777" s="113"/>
      <c r="B777" s="114"/>
    </row>
    <row r="778">
      <c r="A778" s="113"/>
      <c r="B778" s="114"/>
    </row>
    <row r="779">
      <c r="A779" s="113"/>
      <c r="B779" s="114"/>
    </row>
    <row r="780">
      <c r="A780" s="113"/>
      <c r="B780" s="114"/>
    </row>
    <row r="781">
      <c r="A781" s="113"/>
      <c r="B781" s="114"/>
    </row>
    <row r="782">
      <c r="A782" s="113"/>
      <c r="B782" s="114"/>
    </row>
    <row r="783">
      <c r="A783" s="113"/>
      <c r="B783" s="114"/>
    </row>
    <row r="784">
      <c r="A784" s="113"/>
      <c r="B784" s="114"/>
    </row>
    <row r="785">
      <c r="A785" s="113"/>
      <c r="B785" s="114"/>
    </row>
    <row r="786">
      <c r="A786" s="113"/>
      <c r="B786" s="114"/>
    </row>
    <row r="787">
      <c r="A787" s="113"/>
      <c r="B787" s="114"/>
    </row>
    <row r="788">
      <c r="A788" s="113"/>
      <c r="B788" s="114"/>
    </row>
    <row r="789">
      <c r="A789" s="113"/>
      <c r="B789" s="114"/>
    </row>
    <row r="790">
      <c r="A790" s="113"/>
      <c r="B790" s="114"/>
    </row>
    <row r="791">
      <c r="A791" s="113"/>
      <c r="B791" s="114"/>
    </row>
    <row r="792">
      <c r="A792" s="113"/>
      <c r="B792" s="114"/>
    </row>
    <row r="793">
      <c r="A793" s="113"/>
      <c r="B793" s="114"/>
    </row>
    <row r="794">
      <c r="A794" s="113"/>
      <c r="B794" s="114"/>
    </row>
    <row r="795">
      <c r="A795" s="113"/>
      <c r="B795" s="114"/>
    </row>
    <row r="796">
      <c r="A796" s="113"/>
      <c r="B796" s="114"/>
    </row>
    <row r="797">
      <c r="A797" s="113"/>
      <c r="B797" s="114"/>
    </row>
    <row r="798">
      <c r="A798" s="113"/>
      <c r="B798" s="114"/>
    </row>
    <row r="799">
      <c r="A799" s="113"/>
      <c r="B799" s="114"/>
    </row>
    <row r="800">
      <c r="A800" s="113"/>
      <c r="B800" s="114"/>
    </row>
    <row r="801">
      <c r="A801" s="113"/>
      <c r="B801" s="114"/>
    </row>
    <row r="802">
      <c r="A802" s="113"/>
      <c r="B802" s="114"/>
    </row>
    <row r="803">
      <c r="A803" s="113"/>
      <c r="B803" s="114"/>
    </row>
    <row r="804">
      <c r="A804" s="113"/>
      <c r="B804" s="114"/>
    </row>
    <row r="805">
      <c r="A805" s="113"/>
      <c r="B805" s="114"/>
    </row>
    <row r="806">
      <c r="A806" s="113"/>
      <c r="B806" s="114"/>
    </row>
    <row r="807">
      <c r="A807" s="113"/>
      <c r="B807" s="114"/>
    </row>
    <row r="808">
      <c r="A808" s="113"/>
      <c r="B808" s="114"/>
    </row>
    <row r="809">
      <c r="A809" s="113"/>
      <c r="B809" s="114"/>
    </row>
    <row r="810">
      <c r="A810" s="113"/>
      <c r="B810" s="114"/>
    </row>
    <row r="811">
      <c r="A811" s="113"/>
      <c r="B811" s="114"/>
    </row>
    <row r="812">
      <c r="A812" s="113"/>
      <c r="B812" s="114"/>
    </row>
    <row r="813">
      <c r="A813" s="113"/>
      <c r="B813" s="114"/>
    </row>
    <row r="814">
      <c r="A814" s="113"/>
      <c r="B814" s="114"/>
    </row>
    <row r="815">
      <c r="A815" s="113"/>
      <c r="B815" s="114"/>
    </row>
    <row r="816">
      <c r="A816" s="113"/>
      <c r="B816" s="114"/>
    </row>
    <row r="817">
      <c r="A817" s="113"/>
      <c r="B817" s="114"/>
    </row>
    <row r="818">
      <c r="A818" s="113"/>
      <c r="B818" s="114"/>
    </row>
    <row r="819">
      <c r="A819" s="113"/>
      <c r="B819" s="114"/>
    </row>
    <row r="820">
      <c r="A820" s="113"/>
      <c r="B820" s="114"/>
    </row>
    <row r="821">
      <c r="A821" s="113"/>
      <c r="B821" s="114"/>
    </row>
    <row r="822">
      <c r="A822" s="113"/>
      <c r="B822" s="114"/>
    </row>
    <row r="823">
      <c r="A823" s="113"/>
      <c r="B823" s="114"/>
    </row>
    <row r="824">
      <c r="A824" s="113"/>
      <c r="B824" s="114"/>
    </row>
    <row r="825">
      <c r="A825" s="113"/>
      <c r="B825" s="114"/>
    </row>
    <row r="826">
      <c r="A826" s="113"/>
      <c r="B826" s="114"/>
    </row>
    <row r="827">
      <c r="A827" s="113"/>
      <c r="B827" s="114"/>
    </row>
    <row r="828">
      <c r="A828" s="113"/>
      <c r="B828" s="114"/>
    </row>
    <row r="829">
      <c r="A829" s="113"/>
      <c r="B829" s="114"/>
    </row>
    <row r="830">
      <c r="A830" s="113"/>
      <c r="B830" s="114"/>
    </row>
    <row r="831">
      <c r="A831" s="113"/>
      <c r="B831" s="114"/>
    </row>
    <row r="832">
      <c r="A832" s="113"/>
      <c r="B832" s="114"/>
    </row>
    <row r="833">
      <c r="A833" s="113"/>
      <c r="B833" s="114"/>
    </row>
    <row r="834">
      <c r="A834" s="113"/>
      <c r="B834" s="114"/>
    </row>
    <row r="835">
      <c r="A835" s="113"/>
      <c r="B835" s="114"/>
    </row>
    <row r="836">
      <c r="A836" s="113"/>
      <c r="B836" s="114"/>
    </row>
    <row r="837">
      <c r="A837" s="113"/>
      <c r="B837" s="114"/>
    </row>
    <row r="838">
      <c r="A838" s="113"/>
      <c r="B838" s="114"/>
    </row>
    <row r="839">
      <c r="A839" s="113"/>
      <c r="B839" s="114"/>
    </row>
    <row r="840">
      <c r="A840" s="113"/>
      <c r="B840" s="114"/>
    </row>
    <row r="841">
      <c r="A841" s="113"/>
      <c r="B841" s="114"/>
    </row>
    <row r="842">
      <c r="A842" s="113"/>
      <c r="B842" s="114"/>
    </row>
    <row r="843">
      <c r="A843" s="113"/>
      <c r="B843" s="114"/>
    </row>
    <row r="844">
      <c r="A844" s="113"/>
      <c r="B844" s="114"/>
    </row>
    <row r="845">
      <c r="A845" s="113"/>
      <c r="B845" s="114"/>
    </row>
    <row r="846">
      <c r="A846" s="113"/>
      <c r="B846" s="114"/>
    </row>
    <row r="847">
      <c r="A847" s="113"/>
      <c r="B847" s="114"/>
    </row>
    <row r="848">
      <c r="A848" s="113"/>
      <c r="B848" s="114"/>
    </row>
    <row r="849">
      <c r="A849" s="113"/>
      <c r="B849" s="114"/>
    </row>
    <row r="850">
      <c r="A850" s="113"/>
      <c r="B850" s="114"/>
    </row>
    <row r="851">
      <c r="A851" s="113"/>
      <c r="B851" s="114"/>
    </row>
    <row r="852">
      <c r="A852" s="113"/>
      <c r="B852" s="114"/>
    </row>
    <row r="853">
      <c r="A853" s="113"/>
      <c r="B853" s="114"/>
    </row>
    <row r="854">
      <c r="A854" s="113"/>
      <c r="B854" s="114"/>
    </row>
    <row r="855">
      <c r="A855" s="113"/>
      <c r="B855" s="114"/>
    </row>
    <row r="856">
      <c r="A856" s="113"/>
      <c r="B856" s="114"/>
    </row>
    <row r="857">
      <c r="A857" s="113"/>
      <c r="B857" s="114"/>
    </row>
    <row r="858">
      <c r="A858" s="113"/>
      <c r="B858" s="114"/>
    </row>
    <row r="859">
      <c r="A859" s="113"/>
      <c r="B859" s="114"/>
    </row>
    <row r="860">
      <c r="A860" s="113"/>
      <c r="B860" s="114"/>
    </row>
    <row r="861">
      <c r="A861" s="113"/>
      <c r="B861" s="114"/>
    </row>
    <row r="862">
      <c r="A862" s="113"/>
      <c r="B862" s="114"/>
    </row>
    <row r="863">
      <c r="A863" s="113"/>
      <c r="B863" s="114"/>
    </row>
    <row r="864">
      <c r="A864" s="113"/>
      <c r="B864" s="114"/>
    </row>
    <row r="865">
      <c r="A865" s="113"/>
      <c r="B865" s="114"/>
    </row>
    <row r="866">
      <c r="A866" s="113"/>
      <c r="B866" s="114"/>
    </row>
    <row r="867">
      <c r="A867" s="113"/>
      <c r="B867" s="114"/>
    </row>
    <row r="868">
      <c r="A868" s="113"/>
      <c r="B868" s="114"/>
    </row>
    <row r="869">
      <c r="A869" s="113"/>
      <c r="B869" s="114"/>
    </row>
    <row r="870">
      <c r="A870" s="113"/>
      <c r="B870" s="114"/>
    </row>
    <row r="871">
      <c r="A871" s="113"/>
      <c r="B871" s="114"/>
    </row>
    <row r="872">
      <c r="A872" s="113"/>
      <c r="B872" s="114"/>
    </row>
    <row r="873">
      <c r="A873" s="113"/>
      <c r="B873" s="114"/>
    </row>
    <row r="874">
      <c r="A874" s="113"/>
      <c r="B874" s="114"/>
    </row>
    <row r="875">
      <c r="A875" s="113"/>
      <c r="B875" s="114"/>
    </row>
    <row r="876">
      <c r="A876" s="113"/>
      <c r="B876" s="114"/>
    </row>
    <row r="877">
      <c r="A877" s="113"/>
      <c r="B877" s="114"/>
    </row>
    <row r="878">
      <c r="A878" s="113"/>
      <c r="B878" s="114"/>
    </row>
    <row r="879">
      <c r="A879" s="113"/>
      <c r="B879" s="114"/>
    </row>
    <row r="880">
      <c r="A880" s="113"/>
      <c r="B880" s="114"/>
    </row>
    <row r="881">
      <c r="A881" s="113"/>
      <c r="B881" s="114"/>
    </row>
    <row r="882">
      <c r="A882" s="113"/>
      <c r="B882" s="114"/>
    </row>
    <row r="883">
      <c r="A883" s="113"/>
      <c r="B883" s="114"/>
    </row>
    <row r="884">
      <c r="A884" s="113"/>
      <c r="B884" s="114"/>
    </row>
    <row r="885">
      <c r="A885" s="113"/>
      <c r="B885" s="114"/>
    </row>
    <row r="886">
      <c r="A886" s="113"/>
      <c r="B886" s="114"/>
    </row>
    <row r="887">
      <c r="A887" s="113"/>
      <c r="B887" s="114"/>
    </row>
    <row r="888">
      <c r="A888" s="113"/>
      <c r="B888" s="114"/>
    </row>
    <row r="889">
      <c r="A889" s="113"/>
      <c r="B889" s="114"/>
    </row>
    <row r="890">
      <c r="A890" s="113"/>
      <c r="B890" s="114"/>
    </row>
    <row r="891">
      <c r="A891" s="113"/>
      <c r="B891" s="114"/>
    </row>
    <row r="892">
      <c r="A892" s="113"/>
      <c r="B892" s="114"/>
    </row>
    <row r="893">
      <c r="A893" s="113"/>
      <c r="B893" s="114"/>
    </row>
    <row r="894">
      <c r="A894" s="113"/>
      <c r="B894" s="114"/>
    </row>
    <row r="895">
      <c r="A895" s="113"/>
      <c r="B895" s="114"/>
    </row>
    <row r="896">
      <c r="A896" s="113"/>
      <c r="B896" s="114"/>
    </row>
    <row r="897">
      <c r="A897" s="113"/>
      <c r="B897" s="114"/>
    </row>
    <row r="898">
      <c r="A898" s="113"/>
      <c r="B898" s="114"/>
    </row>
    <row r="899">
      <c r="A899" s="113"/>
      <c r="B899" s="114"/>
    </row>
    <row r="900">
      <c r="A900" s="113"/>
      <c r="B900" s="114"/>
    </row>
    <row r="901">
      <c r="A901" s="113"/>
      <c r="B901" s="114"/>
    </row>
    <row r="902">
      <c r="A902" s="113"/>
      <c r="B902" s="114"/>
    </row>
    <row r="903">
      <c r="A903" s="113"/>
      <c r="B903" s="114"/>
    </row>
    <row r="904">
      <c r="A904" s="113"/>
      <c r="B904" s="114"/>
    </row>
    <row r="905">
      <c r="A905" s="113"/>
      <c r="B905" s="114"/>
    </row>
    <row r="906">
      <c r="A906" s="113"/>
      <c r="B906" s="114"/>
    </row>
    <row r="907">
      <c r="A907" s="113"/>
      <c r="B907" s="114"/>
    </row>
    <row r="908">
      <c r="A908" s="113"/>
      <c r="B908" s="114"/>
    </row>
    <row r="909">
      <c r="A909" s="113"/>
      <c r="B909" s="114"/>
    </row>
    <row r="910">
      <c r="A910" s="113"/>
      <c r="B910" s="114"/>
    </row>
    <row r="911">
      <c r="A911" s="113"/>
      <c r="B911" s="114"/>
    </row>
    <row r="912">
      <c r="A912" s="113"/>
      <c r="B912" s="114"/>
    </row>
    <row r="913">
      <c r="A913" s="113"/>
      <c r="B913" s="114"/>
    </row>
    <row r="914">
      <c r="A914" s="113"/>
      <c r="B914" s="114"/>
    </row>
    <row r="915">
      <c r="A915" s="113"/>
      <c r="B915" s="114"/>
    </row>
    <row r="916">
      <c r="A916" s="113"/>
      <c r="B916" s="114"/>
    </row>
    <row r="917">
      <c r="A917" s="113"/>
      <c r="B917" s="114"/>
    </row>
    <row r="918">
      <c r="A918" s="113"/>
      <c r="B918" s="114"/>
    </row>
    <row r="919">
      <c r="A919" s="113"/>
      <c r="B919" s="114"/>
    </row>
    <row r="920">
      <c r="A920" s="113"/>
      <c r="B920" s="114"/>
    </row>
    <row r="921">
      <c r="A921" s="113"/>
      <c r="B921" s="114"/>
    </row>
    <row r="922">
      <c r="A922" s="113"/>
      <c r="B922" s="114"/>
    </row>
    <row r="923">
      <c r="A923" s="113"/>
      <c r="B923" s="114"/>
    </row>
    <row r="924">
      <c r="A924" s="113"/>
      <c r="B924" s="114"/>
    </row>
    <row r="925">
      <c r="A925" s="113"/>
      <c r="B925" s="114"/>
    </row>
    <row r="926">
      <c r="A926" s="113"/>
      <c r="B926" s="114"/>
    </row>
    <row r="927">
      <c r="A927" s="113"/>
      <c r="B927" s="114"/>
    </row>
    <row r="928">
      <c r="A928" s="113"/>
      <c r="B928" s="114"/>
    </row>
    <row r="929">
      <c r="A929" s="113"/>
      <c r="B929" s="114"/>
    </row>
    <row r="930">
      <c r="A930" s="113"/>
      <c r="B930" s="114"/>
    </row>
    <row r="931">
      <c r="A931" s="113"/>
      <c r="B931" s="114"/>
    </row>
    <row r="932">
      <c r="A932" s="113"/>
      <c r="B932" s="114"/>
    </row>
    <row r="933">
      <c r="A933" s="113"/>
      <c r="B933" s="114"/>
    </row>
    <row r="934">
      <c r="A934" s="113"/>
      <c r="B934" s="114"/>
    </row>
    <row r="935">
      <c r="A935" s="113"/>
      <c r="B935" s="114"/>
    </row>
    <row r="936">
      <c r="A936" s="113"/>
      <c r="B936" s="114"/>
    </row>
    <row r="937">
      <c r="A937" s="113"/>
      <c r="B937" s="114"/>
    </row>
    <row r="938">
      <c r="A938" s="113"/>
      <c r="B938" s="114"/>
    </row>
    <row r="939">
      <c r="A939" s="113"/>
      <c r="B939" s="114"/>
    </row>
    <row r="940">
      <c r="A940" s="113"/>
      <c r="B940" s="114"/>
    </row>
    <row r="941">
      <c r="A941" s="113"/>
      <c r="B941" s="114"/>
    </row>
    <row r="942">
      <c r="A942" s="113"/>
      <c r="B942" s="114"/>
    </row>
    <row r="943">
      <c r="A943" s="113"/>
      <c r="B943" s="114"/>
    </row>
    <row r="944">
      <c r="A944" s="113"/>
      <c r="B944" s="114"/>
    </row>
    <row r="945">
      <c r="A945" s="113"/>
      <c r="B945" s="114"/>
    </row>
    <row r="946">
      <c r="A946" s="113"/>
      <c r="B946" s="114"/>
    </row>
    <row r="947">
      <c r="A947" s="113"/>
      <c r="B947" s="114"/>
    </row>
    <row r="948">
      <c r="A948" s="113"/>
      <c r="B948" s="114"/>
    </row>
    <row r="949">
      <c r="A949" s="113"/>
      <c r="B949" s="114"/>
    </row>
    <row r="950">
      <c r="A950" s="113"/>
      <c r="B950" s="114"/>
    </row>
    <row r="951">
      <c r="A951" s="113"/>
      <c r="B951" s="114"/>
    </row>
    <row r="952">
      <c r="A952" s="113"/>
      <c r="B952" s="114"/>
    </row>
    <row r="953">
      <c r="A953" s="113"/>
      <c r="B953" s="114"/>
    </row>
    <row r="954">
      <c r="A954" s="113"/>
      <c r="B954" s="114"/>
    </row>
    <row r="955">
      <c r="A955" s="113"/>
      <c r="B955" s="114"/>
    </row>
    <row r="956">
      <c r="A956" s="113"/>
      <c r="B956" s="114"/>
    </row>
    <row r="957">
      <c r="A957" s="113"/>
      <c r="B957" s="114"/>
    </row>
    <row r="958">
      <c r="A958" s="113"/>
      <c r="B958" s="114"/>
    </row>
    <row r="959">
      <c r="A959" s="113"/>
      <c r="B959" s="114"/>
    </row>
    <row r="960">
      <c r="A960" s="113"/>
      <c r="B960" s="114"/>
    </row>
    <row r="961">
      <c r="A961" s="113"/>
      <c r="B961" s="114"/>
    </row>
    <row r="962">
      <c r="A962" s="113"/>
      <c r="B962" s="114"/>
    </row>
    <row r="963">
      <c r="A963" s="113"/>
      <c r="B963" s="114"/>
    </row>
    <row r="964">
      <c r="A964" s="113"/>
      <c r="B964" s="114"/>
    </row>
    <row r="965">
      <c r="A965" s="113"/>
      <c r="B965" s="114"/>
    </row>
    <row r="966">
      <c r="A966" s="113"/>
      <c r="B966" s="114"/>
    </row>
    <row r="967">
      <c r="A967" s="113"/>
      <c r="B967" s="114"/>
    </row>
    <row r="968">
      <c r="A968" s="113"/>
      <c r="B968" s="114"/>
    </row>
    <row r="969">
      <c r="A969" s="113"/>
      <c r="B969" s="114"/>
    </row>
    <row r="970">
      <c r="A970" s="113"/>
      <c r="B970" s="114"/>
    </row>
    <row r="971">
      <c r="A971" s="113"/>
      <c r="B971" s="114"/>
    </row>
    <row r="972">
      <c r="A972" s="113"/>
      <c r="B972" s="114"/>
    </row>
    <row r="973">
      <c r="A973" s="113"/>
      <c r="B973" s="114"/>
    </row>
    <row r="974">
      <c r="A974" s="113"/>
      <c r="B974" s="114"/>
    </row>
    <row r="975">
      <c r="A975" s="113"/>
      <c r="B975" s="114"/>
    </row>
    <row r="976">
      <c r="A976" s="113"/>
      <c r="B976" s="114"/>
    </row>
    <row r="977">
      <c r="A977" s="113"/>
      <c r="B977" s="114"/>
    </row>
    <row r="978">
      <c r="A978" s="113"/>
      <c r="B978" s="114"/>
    </row>
    <row r="979">
      <c r="A979" s="113"/>
      <c r="B979" s="114"/>
    </row>
    <row r="980">
      <c r="A980" s="113"/>
      <c r="B980" s="114"/>
    </row>
    <row r="981">
      <c r="A981" s="113"/>
      <c r="B981" s="114"/>
    </row>
    <row r="982">
      <c r="A982" s="113"/>
      <c r="B982" s="114"/>
    </row>
    <row r="983">
      <c r="A983" s="113"/>
      <c r="B983" s="114"/>
    </row>
    <row r="984">
      <c r="A984" s="113"/>
      <c r="B984" s="114"/>
    </row>
    <row r="985">
      <c r="A985" s="113"/>
      <c r="B985" s="114"/>
    </row>
    <row r="986">
      <c r="A986" s="113"/>
      <c r="B986" s="114"/>
    </row>
    <row r="987">
      <c r="A987" s="113"/>
      <c r="B987" s="114"/>
    </row>
    <row r="988">
      <c r="A988" s="113"/>
      <c r="B988" s="114"/>
    </row>
    <row r="989">
      <c r="A989" s="113"/>
      <c r="B989" s="114"/>
    </row>
    <row r="990">
      <c r="A990" s="113"/>
      <c r="B990" s="114"/>
    </row>
    <row r="991">
      <c r="A991" s="113"/>
      <c r="B991" s="114"/>
    </row>
    <row r="992">
      <c r="A992" s="113"/>
      <c r="B992" s="114"/>
    </row>
    <row r="993">
      <c r="A993" s="113"/>
      <c r="B993" s="114"/>
    </row>
    <row r="994">
      <c r="A994" s="113"/>
      <c r="B994" s="114"/>
    </row>
    <row r="995">
      <c r="A995" s="113"/>
      <c r="B995" s="114"/>
    </row>
    <row r="996">
      <c r="A996" s="113"/>
      <c r="B996" s="114"/>
    </row>
    <row r="997">
      <c r="A997" s="113"/>
      <c r="B997" s="114"/>
    </row>
    <row r="998">
      <c r="A998" s="113"/>
      <c r="B998" s="114"/>
    </row>
    <row r="999">
      <c r="A999" s="113"/>
      <c r="B999" s="114"/>
    </row>
    <row r="1000">
      <c r="A1000" s="113"/>
      <c r="B1000" s="114"/>
    </row>
    <row r="1001">
      <c r="A1001" s="113"/>
      <c r="B1001" s="114"/>
    </row>
    <row r="1002">
      <c r="A1002" s="113"/>
      <c r="B1002" s="114"/>
    </row>
    <row r="1003">
      <c r="A1003" s="113"/>
      <c r="B1003" s="114"/>
    </row>
    <row r="1004">
      <c r="A1004" s="113"/>
      <c r="B1004" s="114"/>
    </row>
    <row r="1005">
      <c r="A1005" s="113"/>
      <c r="B1005" s="114"/>
    </row>
    <row r="1006">
      <c r="A1006" s="113"/>
      <c r="B1006" s="114"/>
    </row>
    <row r="1007">
      <c r="A1007" s="113"/>
      <c r="B1007" s="114"/>
    </row>
    <row r="1008">
      <c r="A1008" s="113"/>
      <c r="B1008" s="114"/>
    </row>
    <row r="1009">
      <c r="A1009" s="113"/>
      <c r="B1009" s="114"/>
    </row>
    <row r="1010">
      <c r="A1010" s="113"/>
      <c r="B1010" s="114"/>
    </row>
    <row r="1011">
      <c r="A1011" s="113"/>
      <c r="B1011" s="114"/>
    </row>
    <row r="1012">
      <c r="A1012" s="113"/>
      <c r="B1012" s="114"/>
    </row>
    <row r="1013">
      <c r="A1013" s="113"/>
      <c r="B1013" s="114"/>
    </row>
    <row r="1014">
      <c r="A1014" s="113"/>
      <c r="B1014" s="114"/>
    </row>
    <row r="1015">
      <c r="A1015" s="113"/>
      <c r="B1015" s="114"/>
    </row>
  </sheetData>
  <mergeCells count="4">
    <mergeCell ref="A1:A2"/>
    <mergeCell ref="B1:B2"/>
    <mergeCell ref="A3:A5"/>
    <mergeCell ref="B3:B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  <col customWidth="1" min="3" max="3" width="19.5"/>
    <col customWidth="1" min="4" max="4" width="23.88"/>
  </cols>
  <sheetData>
    <row r="1">
      <c r="B1" s="1" t="s">
        <v>0</v>
      </c>
      <c r="I1" s="1"/>
    </row>
    <row r="2">
      <c r="I2" s="1"/>
    </row>
    <row r="3">
      <c r="B3" s="115" t="s">
        <v>389</v>
      </c>
      <c r="C3" s="115" t="s">
        <v>390</v>
      </c>
      <c r="D3" s="115" t="s">
        <v>4</v>
      </c>
      <c r="E3" s="116" t="s">
        <v>391</v>
      </c>
      <c r="F3" s="117"/>
      <c r="G3" s="117"/>
      <c r="H3" s="117"/>
      <c r="I3" s="118"/>
    </row>
    <row r="4">
      <c r="B4" s="47"/>
      <c r="C4" s="47"/>
      <c r="D4" s="47"/>
      <c r="E4" s="119">
        <v>2011.0</v>
      </c>
      <c r="F4" s="119">
        <v>2014.0</v>
      </c>
      <c r="G4" s="119">
        <v>2017.0</v>
      </c>
      <c r="H4" s="119">
        <v>2021.0</v>
      </c>
      <c r="I4" s="119">
        <v>2031.0</v>
      </c>
    </row>
    <row r="5">
      <c r="B5" s="50"/>
      <c r="C5" s="50"/>
      <c r="D5" s="50"/>
      <c r="E5" s="50"/>
      <c r="F5" s="50"/>
      <c r="G5" s="50"/>
      <c r="H5" s="50"/>
      <c r="I5" s="50"/>
    </row>
    <row r="6">
      <c r="B6" s="120" t="s">
        <v>392</v>
      </c>
      <c r="C6" s="11" t="s">
        <v>393</v>
      </c>
      <c r="D6" s="20" t="s">
        <v>18</v>
      </c>
      <c r="E6" s="121">
        <v>10323.0</v>
      </c>
      <c r="F6" s="121">
        <v>10411.0</v>
      </c>
      <c r="G6" s="121">
        <v>12758.0</v>
      </c>
      <c r="H6" s="122">
        <v>13134.0</v>
      </c>
      <c r="I6" s="122">
        <v>25734.0</v>
      </c>
    </row>
    <row r="7">
      <c r="B7" s="123" t="s">
        <v>392</v>
      </c>
      <c r="C7" s="124"/>
      <c r="D7" s="60" t="s">
        <v>15</v>
      </c>
      <c r="E7" s="121">
        <v>15115.0</v>
      </c>
      <c r="F7" s="121">
        <v>19297.0</v>
      </c>
      <c r="G7" s="121">
        <v>21002.0</v>
      </c>
      <c r="H7" s="121">
        <v>17778.0</v>
      </c>
      <c r="I7" s="121">
        <v>39325.0</v>
      </c>
    </row>
    <row r="8">
      <c r="B8" s="125" t="s">
        <v>392</v>
      </c>
      <c r="C8" s="50"/>
      <c r="D8" s="60" t="s">
        <v>20</v>
      </c>
      <c r="E8" s="121">
        <v>12763.0</v>
      </c>
      <c r="F8" s="122">
        <v>12898.0</v>
      </c>
      <c r="G8" s="122">
        <v>12878.0</v>
      </c>
      <c r="H8" s="122">
        <v>11516.0</v>
      </c>
      <c r="I8" s="122">
        <v>17429.0</v>
      </c>
    </row>
    <row r="9">
      <c r="B9" s="126"/>
      <c r="C9" s="127"/>
      <c r="D9" s="89"/>
      <c r="E9" s="128"/>
      <c r="F9" s="129"/>
      <c r="G9" s="128"/>
      <c r="H9" s="128"/>
      <c r="I9" s="128"/>
    </row>
    <row r="10">
      <c r="B10" s="125" t="s">
        <v>392</v>
      </c>
      <c r="C10" s="130" t="s">
        <v>292</v>
      </c>
      <c r="D10" s="57" t="s">
        <v>30</v>
      </c>
      <c r="E10" s="121">
        <v>28718.0</v>
      </c>
      <c r="F10" s="122">
        <v>30642.0</v>
      </c>
      <c r="G10" s="122">
        <v>28365.0</v>
      </c>
      <c r="H10" s="122">
        <v>32915.0</v>
      </c>
      <c r="I10" s="122">
        <v>40506.0</v>
      </c>
    </row>
    <row r="11">
      <c r="B11" s="120" t="s">
        <v>392</v>
      </c>
      <c r="C11" s="131"/>
      <c r="D11" s="57" t="s">
        <v>25</v>
      </c>
      <c r="E11" s="121">
        <v>32438.0</v>
      </c>
      <c r="F11" s="121">
        <v>65544.0</v>
      </c>
      <c r="G11" s="122">
        <v>39692.0</v>
      </c>
      <c r="H11" s="122">
        <v>65801.0</v>
      </c>
      <c r="I11" s="122">
        <v>94901.0</v>
      </c>
    </row>
    <row r="12">
      <c r="B12" s="120" t="s">
        <v>392</v>
      </c>
      <c r="C12" s="50"/>
      <c r="D12" s="57" t="s">
        <v>37</v>
      </c>
      <c r="E12" s="132">
        <v>11417.0</v>
      </c>
      <c r="F12" s="57">
        <v>13358.0</v>
      </c>
      <c r="G12" s="121">
        <v>11978.0</v>
      </c>
      <c r="H12" s="121">
        <v>16509.0</v>
      </c>
      <c r="I12" s="121">
        <v>20655.0</v>
      </c>
    </row>
    <row r="13">
      <c r="B13" s="133"/>
      <c r="C13" s="91"/>
      <c r="D13" s="91"/>
      <c r="E13" s="91"/>
      <c r="F13" s="134"/>
      <c r="G13" s="91"/>
      <c r="H13" s="134"/>
      <c r="I13" s="91"/>
    </row>
    <row r="14">
      <c r="B14" s="120" t="s">
        <v>392</v>
      </c>
      <c r="C14" s="130" t="s">
        <v>308</v>
      </c>
      <c r="D14" s="57" t="s">
        <v>21</v>
      </c>
      <c r="E14" s="121">
        <v>18524.0</v>
      </c>
      <c r="F14" s="122">
        <v>22377.0</v>
      </c>
      <c r="G14" s="121">
        <v>23995.0</v>
      </c>
      <c r="H14" s="121">
        <v>24733.0</v>
      </c>
      <c r="I14" s="121">
        <v>35528.0</v>
      </c>
    </row>
    <row r="15">
      <c r="B15" s="120" t="s">
        <v>392</v>
      </c>
      <c r="C15" s="131"/>
      <c r="D15" s="57" t="s">
        <v>36</v>
      </c>
      <c r="E15" s="121">
        <v>8863.0</v>
      </c>
      <c r="F15" s="121">
        <v>7887.0</v>
      </c>
      <c r="G15" s="121">
        <v>8709.0</v>
      </c>
      <c r="H15" s="121">
        <v>8611.0</v>
      </c>
      <c r="I15" s="121">
        <v>11814.0</v>
      </c>
    </row>
    <row r="16">
      <c r="B16" s="120" t="s">
        <v>392</v>
      </c>
      <c r="C16" s="47"/>
      <c r="D16" s="57" t="s">
        <v>29</v>
      </c>
      <c r="E16" s="132">
        <v>12494.0</v>
      </c>
      <c r="F16" s="121">
        <v>11039.0</v>
      </c>
      <c r="G16" s="121">
        <v>12564.0</v>
      </c>
      <c r="H16" s="121">
        <v>12876.0</v>
      </c>
      <c r="I16" s="121">
        <v>13323.0</v>
      </c>
    </row>
    <row r="17">
      <c r="B17" s="120" t="s">
        <v>392</v>
      </c>
      <c r="C17" s="50"/>
      <c r="D17" s="57" t="s">
        <v>34</v>
      </c>
      <c r="E17" s="121">
        <v>19046.0</v>
      </c>
      <c r="F17" s="121">
        <v>17009.0</v>
      </c>
      <c r="G17" s="121">
        <v>28089.0</v>
      </c>
      <c r="H17" s="121">
        <v>21374.0</v>
      </c>
      <c r="I17" s="121">
        <v>41688.0</v>
      </c>
    </row>
    <row r="18">
      <c r="B18" s="133"/>
      <c r="C18" s="91"/>
      <c r="D18" s="91"/>
      <c r="E18" s="91"/>
      <c r="F18" s="134"/>
      <c r="G18" s="91"/>
      <c r="H18" s="134"/>
      <c r="I18" s="91"/>
    </row>
    <row r="19">
      <c r="B19" s="120" t="s">
        <v>394</v>
      </c>
      <c r="C19" s="135" t="s">
        <v>331</v>
      </c>
      <c r="D19" s="57" t="s">
        <v>53</v>
      </c>
      <c r="E19" s="121">
        <v>8445.0</v>
      </c>
      <c r="F19" s="121">
        <v>8572.0</v>
      </c>
      <c r="G19" s="121">
        <v>8117.0</v>
      </c>
      <c r="H19" s="121">
        <v>9263.0</v>
      </c>
      <c r="I19" s="121">
        <v>9343.0</v>
      </c>
    </row>
    <row r="20">
      <c r="B20" s="120" t="s">
        <v>394</v>
      </c>
      <c r="C20" s="136"/>
      <c r="D20" s="57" t="s">
        <v>45</v>
      </c>
      <c r="E20" s="122">
        <v>14846.0</v>
      </c>
      <c r="F20" s="122">
        <v>14257.0</v>
      </c>
      <c r="G20" s="122">
        <v>13913.0</v>
      </c>
      <c r="H20" s="122">
        <v>14637.0</v>
      </c>
      <c r="I20" s="122">
        <v>14975.0</v>
      </c>
    </row>
    <row r="21">
      <c r="B21" s="120" t="s">
        <v>394</v>
      </c>
      <c r="C21" s="47"/>
      <c r="D21" s="57" t="s">
        <v>48</v>
      </c>
      <c r="E21" s="121">
        <v>14501.0</v>
      </c>
      <c r="F21" s="121">
        <v>23002.0</v>
      </c>
      <c r="G21" s="121">
        <v>19251.0</v>
      </c>
      <c r="H21" s="121">
        <v>23591.0</v>
      </c>
      <c r="I21" s="121">
        <v>24975.0</v>
      </c>
    </row>
    <row r="22">
      <c r="B22" s="120" t="s">
        <v>394</v>
      </c>
      <c r="C22" s="47"/>
      <c r="D22" s="57" t="s">
        <v>255</v>
      </c>
      <c r="E22" s="121">
        <v>14024.0</v>
      </c>
      <c r="F22" s="121">
        <v>10989.0</v>
      </c>
      <c r="G22" s="121">
        <v>12025.0</v>
      </c>
      <c r="H22" s="121">
        <v>15050.0</v>
      </c>
      <c r="I22" s="121">
        <v>20699.0</v>
      </c>
    </row>
    <row r="23">
      <c r="B23" s="120" t="s">
        <v>394</v>
      </c>
      <c r="C23" s="47"/>
      <c r="D23" s="57" t="s">
        <v>323</v>
      </c>
      <c r="E23" s="121">
        <v>12234.0</v>
      </c>
      <c r="F23" s="122">
        <v>10182.0</v>
      </c>
      <c r="G23" s="121">
        <v>9889.0</v>
      </c>
      <c r="H23" s="121">
        <v>12459.0</v>
      </c>
      <c r="I23" s="121">
        <v>14348.0</v>
      </c>
    </row>
    <row r="24">
      <c r="B24" s="120" t="s">
        <v>394</v>
      </c>
      <c r="C24" s="47"/>
      <c r="D24" s="57" t="s">
        <v>50</v>
      </c>
      <c r="E24" s="121">
        <v>11552.0</v>
      </c>
      <c r="F24" s="121">
        <v>11926.0</v>
      </c>
      <c r="G24" s="121">
        <v>9258.0</v>
      </c>
      <c r="H24" s="121">
        <v>11312.0</v>
      </c>
      <c r="I24" s="121">
        <v>13865.0</v>
      </c>
    </row>
    <row r="25">
      <c r="B25" s="120" t="s">
        <v>394</v>
      </c>
      <c r="C25" s="47"/>
      <c r="D25" s="57" t="s">
        <v>42</v>
      </c>
      <c r="E25" s="121">
        <v>43512.0</v>
      </c>
      <c r="F25" s="121">
        <v>49023.0</v>
      </c>
      <c r="G25" s="121">
        <v>55616.0</v>
      </c>
      <c r="H25" s="121">
        <v>69422.0</v>
      </c>
      <c r="I25" s="121">
        <v>73212.0</v>
      </c>
    </row>
    <row r="26">
      <c r="B26" s="120" t="s">
        <v>394</v>
      </c>
      <c r="C26" s="47"/>
      <c r="D26" s="57" t="s">
        <v>256</v>
      </c>
      <c r="E26" s="121">
        <v>11140.0</v>
      </c>
      <c r="F26" s="121">
        <v>9609.0</v>
      </c>
      <c r="G26" s="121">
        <v>9496.0</v>
      </c>
      <c r="H26" s="121">
        <v>11400.0</v>
      </c>
      <c r="I26" s="121">
        <v>12572.0</v>
      </c>
    </row>
    <row r="27">
      <c r="B27" s="120" t="s">
        <v>394</v>
      </c>
      <c r="C27" s="47"/>
      <c r="D27" s="57" t="s">
        <v>252</v>
      </c>
      <c r="E27" s="121">
        <v>7719.0</v>
      </c>
      <c r="F27" s="122">
        <v>6875.0</v>
      </c>
      <c r="G27" s="122">
        <v>6570.0</v>
      </c>
      <c r="H27" s="122">
        <v>7765.0</v>
      </c>
      <c r="I27" s="122">
        <v>8278.0</v>
      </c>
    </row>
    <row r="28">
      <c r="B28" s="120" t="s">
        <v>394</v>
      </c>
      <c r="C28" s="47"/>
      <c r="D28" s="57" t="s">
        <v>331</v>
      </c>
      <c r="E28" s="121">
        <v>13891.0</v>
      </c>
      <c r="F28" s="122">
        <v>16124.0</v>
      </c>
      <c r="G28" s="122">
        <v>13643.0</v>
      </c>
      <c r="H28" s="122">
        <v>15658.0</v>
      </c>
      <c r="I28" s="122">
        <v>17717.0</v>
      </c>
    </row>
    <row r="29">
      <c r="B29" s="120" t="s">
        <v>394</v>
      </c>
      <c r="C29" s="47"/>
      <c r="D29" s="57" t="s">
        <v>243</v>
      </c>
      <c r="E29" s="121">
        <v>8558.0</v>
      </c>
      <c r="F29" s="121">
        <v>7677.0</v>
      </c>
      <c r="G29" s="121">
        <v>7436.0</v>
      </c>
      <c r="H29" s="121">
        <v>9038.0</v>
      </c>
      <c r="I29" s="121">
        <v>10038.0</v>
      </c>
    </row>
    <row r="30">
      <c r="B30" s="120" t="s">
        <v>394</v>
      </c>
      <c r="C30" s="47"/>
      <c r="D30" s="57" t="s">
        <v>44</v>
      </c>
      <c r="E30" s="121">
        <v>17069.0</v>
      </c>
      <c r="F30" s="121">
        <v>25119.0</v>
      </c>
      <c r="G30" s="121">
        <v>23832.0</v>
      </c>
      <c r="H30" s="121">
        <v>30305.0</v>
      </c>
      <c r="I30" s="121">
        <v>32538.0</v>
      </c>
    </row>
    <row r="31">
      <c r="B31" s="120" t="s">
        <v>394</v>
      </c>
      <c r="C31" s="47"/>
      <c r="D31" s="57" t="s">
        <v>342</v>
      </c>
      <c r="E31" s="121">
        <v>9086.0</v>
      </c>
      <c r="F31" s="121">
        <v>5754.0</v>
      </c>
      <c r="G31" s="121">
        <v>6403.0</v>
      </c>
      <c r="H31" s="121">
        <v>10173.0</v>
      </c>
      <c r="I31" s="121">
        <v>14291.0</v>
      </c>
    </row>
    <row r="32">
      <c r="B32" s="120" t="s">
        <v>394</v>
      </c>
      <c r="C32" s="47"/>
      <c r="D32" s="57" t="s">
        <v>27</v>
      </c>
      <c r="E32" s="121">
        <v>28926.0</v>
      </c>
      <c r="F32" s="121">
        <v>39842.0</v>
      </c>
      <c r="G32" s="121">
        <v>33633.0</v>
      </c>
      <c r="H32" s="121">
        <v>41144.0</v>
      </c>
      <c r="I32" s="121">
        <v>42773.0</v>
      </c>
    </row>
    <row r="33">
      <c r="B33" s="120" t="s">
        <v>394</v>
      </c>
      <c r="C33" s="47"/>
      <c r="D33" s="57" t="s">
        <v>54</v>
      </c>
      <c r="E33" s="80">
        <v>18594.0</v>
      </c>
      <c r="F33" s="121">
        <v>18972.0</v>
      </c>
      <c r="G33" s="121">
        <v>17606.0</v>
      </c>
      <c r="H33" s="121">
        <v>22101.0</v>
      </c>
      <c r="I33" s="121">
        <v>23914.0</v>
      </c>
    </row>
    <row r="34">
      <c r="B34" s="120" t="s">
        <v>394</v>
      </c>
      <c r="C34" s="50"/>
      <c r="D34" s="57" t="s">
        <v>332</v>
      </c>
      <c r="E34" s="121">
        <v>8415.0</v>
      </c>
      <c r="F34" s="122">
        <v>8778.0</v>
      </c>
      <c r="G34" s="122">
        <v>7826.0</v>
      </c>
      <c r="H34" s="122">
        <v>8493.0</v>
      </c>
      <c r="I34" s="122">
        <v>8919.0</v>
      </c>
    </row>
    <row r="35">
      <c r="B35" s="133"/>
      <c r="C35" s="134"/>
      <c r="D35" s="91"/>
      <c r="E35" s="91"/>
      <c r="F35" s="134"/>
      <c r="G35" s="91"/>
      <c r="H35" s="134"/>
      <c r="I35" s="91"/>
    </row>
    <row r="36">
      <c r="B36" s="120" t="s">
        <v>392</v>
      </c>
      <c r="C36" s="69" t="s">
        <v>395</v>
      </c>
      <c r="D36" s="57" t="s">
        <v>81</v>
      </c>
      <c r="E36" s="121">
        <v>13293.0</v>
      </c>
      <c r="F36" s="121">
        <v>16991.0</v>
      </c>
      <c r="G36" s="121">
        <v>15118.0</v>
      </c>
      <c r="H36" s="121">
        <v>17111.0</v>
      </c>
      <c r="I36" s="121">
        <v>18147.0</v>
      </c>
    </row>
    <row r="37">
      <c r="B37" s="120" t="s">
        <v>392</v>
      </c>
      <c r="C37" s="137"/>
      <c r="D37" s="57" t="s">
        <v>103</v>
      </c>
      <c r="E37" s="121">
        <v>18685.0</v>
      </c>
      <c r="F37" s="121">
        <v>18808.0</v>
      </c>
      <c r="G37" s="121">
        <v>15511.0</v>
      </c>
      <c r="H37" s="121">
        <v>19567.0</v>
      </c>
      <c r="I37" s="121">
        <v>19594.0</v>
      </c>
    </row>
    <row r="38">
      <c r="B38" s="120" t="s">
        <v>392</v>
      </c>
      <c r="C38" s="47"/>
      <c r="D38" s="57" t="s">
        <v>106</v>
      </c>
      <c r="E38" s="121">
        <v>10273.0</v>
      </c>
      <c r="F38" s="121">
        <v>11917.0</v>
      </c>
      <c r="G38" s="121">
        <v>8466.0</v>
      </c>
      <c r="H38" s="121">
        <v>10258.0</v>
      </c>
      <c r="I38" s="121">
        <v>10355.0</v>
      </c>
    </row>
    <row r="39">
      <c r="B39" s="120" t="s">
        <v>392</v>
      </c>
      <c r="C39" s="47"/>
      <c r="D39" s="57" t="s">
        <v>65</v>
      </c>
      <c r="E39" s="121">
        <v>6735.0</v>
      </c>
      <c r="F39" s="57">
        <v>6664.0</v>
      </c>
      <c r="G39" s="122">
        <v>6708.0</v>
      </c>
      <c r="H39" s="122">
        <v>7033.0</v>
      </c>
      <c r="I39" s="122">
        <v>7034.0</v>
      </c>
    </row>
    <row r="40">
      <c r="B40" s="120" t="s">
        <v>392</v>
      </c>
      <c r="C40" s="47"/>
      <c r="D40" s="57" t="s">
        <v>102</v>
      </c>
      <c r="E40" s="121">
        <v>5643.0</v>
      </c>
      <c r="F40" s="122">
        <v>6121.0</v>
      </c>
      <c r="G40" s="122">
        <v>5164.0</v>
      </c>
      <c r="H40" s="122">
        <v>6124.0</v>
      </c>
      <c r="I40" s="122">
        <v>6147.0</v>
      </c>
    </row>
    <row r="41">
      <c r="B41" s="120" t="s">
        <v>392</v>
      </c>
      <c r="C41" s="47"/>
      <c r="D41" s="57" t="s">
        <v>78</v>
      </c>
      <c r="E41" s="121">
        <v>4260.0</v>
      </c>
      <c r="F41" s="121">
        <v>5364.0</v>
      </c>
      <c r="G41" s="121">
        <v>4630.0</v>
      </c>
      <c r="H41" s="121">
        <v>5333.0</v>
      </c>
      <c r="I41" s="121">
        <v>5530.0</v>
      </c>
    </row>
    <row r="42">
      <c r="B42" s="120" t="s">
        <v>392</v>
      </c>
      <c r="C42" s="47"/>
      <c r="D42" s="57" t="s">
        <v>86</v>
      </c>
      <c r="E42" s="121">
        <v>17981.0</v>
      </c>
      <c r="F42" s="122">
        <v>17185.0</v>
      </c>
      <c r="G42" s="80">
        <v>16974.0</v>
      </c>
      <c r="H42" s="122">
        <v>21222.0</v>
      </c>
      <c r="I42" s="122">
        <v>21828.0</v>
      </c>
    </row>
    <row r="43">
      <c r="B43" s="120" t="s">
        <v>392</v>
      </c>
      <c r="C43" s="47"/>
      <c r="D43" s="57" t="s">
        <v>286</v>
      </c>
      <c r="E43" s="121">
        <v>8098.0</v>
      </c>
      <c r="F43" s="122">
        <v>7561.0</v>
      </c>
      <c r="G43" s="121">
        <v>7178.0</v>
      </c>
      <c r="H43" s="121">
        <v>6809.0</v>
      </c>
      <c r="I43" s="121">
        <v>7978.0</v>
      </c>
    </row>
    <row r="44">
      <c r="B44" s="120" t="s">
        <v>392</v>
      </c>
      <c r="C44" s="47"/>
      <c r="D44" s="57" t="s">
        <v>90</v>
      </c>
      <c r="E44" s="132">
        <v>7772.0</v>
      </c>
      <c r="F44" s="121">
        <v>8087.0</v>
      </c>
      <c r="G44" s="121">
        <v>8807.0</v>
      </c>
      <c r="H44" s="121">
        <v>9416.0</v>
      </c>
      <c r="I44" s="121">
        <v>9500.0</v>
      </c>
    </row>
    <row r="45">
      <c r="B45" s="120" t="s">
        <v>392</v>
      </c>
      <c r="C45" s="50"/>
      <c r="D45" s="57" t="s">
        <v>76</v>
      </c>
      <c r="E45" s="121">
        <v>18336.0</v>
      </c>
      <c r="F45" s="121">
        <v>24563.0</v>
      </c>
      <c r="G45" s="121">
        <v>22523.0</v>
      </c>
      <c r="H45" s="121">
        <v>28387.0</v>
      </c>
      <c r="I45" s="121">
        <v>30197.0</v>
      </c>
    </row>
    <row r="46">
      <c r="B46" s="133"/>
      <c r="C46" s="134"/>
      <c r="D46" s="91"/>
      <c r="E46" s="91"/>
      <c r="F46" s="134"/>
      <c r="G46" s="91"/>
      <c r="H46" s="134"/>
      <c r="I46" s="91"/>
    </row>
    <row r="47">
      <c r="B47" s="120" t="s">
        <v>392</v>
      </c>
      <c r="C47" s="69" t="s">
        <v>396</v>
      </c>
      <c r="D47" s="57" t="s">
        <v>87</v>
      </c>
      <c r="E47" s="121">
        <v>15055.0</v>
      </c>
      <c r="F47" s="121">
        <v>15998.0</v>
      </c>
      <c r="G47" s="121">
        <v>13210.0</v>
      </c>
      <c r="H47" s="121">
        <v>17781.0</v>
      </c>
      <c r="I47" s="121">
        <v>18156.0</v>
      </c>
    </row>
    <row r="48">
      <c r="B48" s="120" t="s">
        <v>392</v>
      </c>
      <c r="C48" s="137"/>
      <c r="D48" s="57" t="s">
        <v>358</v>
      </c>
      <c r="E48" s="80">
        <v>23033.0</v>
      </c>
      <c r="F48" s="121">
        <v>26931.0</v>
      </c>
      <c r="G48" s="121">
        <v>35204.0</v>
      </c>
      <c r="H48" s="121">
        <v>51226.0</v>
      </c>
      <c r="I48" s="121">
        <v>53547.0</v>
      </c>
    </row>
    <row r="49">
      <c r="B49" s="120" t="s">
        <v>392</v>
      </c>
      <c r="C49" s="47"/>
      <c r="D49" s="57" t="s">
        <v>85</v>
      </c>
      <c r="E49" s="121">
        <v>7462.0</v>
      </c>
      <c r="F49" s="121">
        <v>7111.0</v>
      </c>
      <c r="G49" s="121">
        <v>7261.0</v>
      </c>
      <c r="H49" s="121">
        <v>7765.0</v>
      </c>
      <c r="I49" s="121">
        <v>7767.0</v>
      </c>
    </row>
    <row r="50">
      <c r="B50" s="120" t="s">
        <v>392</v>
      </c>
      <c r="C50" s="47"/>
      <c r="D50" s="57" t="s">
        <v>114</v>
      </c>
      <c r="E50" s="121">
        <v>16211.0</v>
      </c>
      <c r="F50" s="121">
        <v>16904.0</v>
      </c>
      <c r="G50" s="121">
        <v>23065.0</v>
      </c>
      <c r="H50" s="121">
        <v>30504.0</v>
      </c>
      <c r="I50" s="121">
        <v>31740.0</v>
      </c>
    </row>
    <row r="51">
      <c r="B51" s="120" t="s">
        <v>392</v>
      </c>
      <c r="C51" s="47"/>
      <c r="D51" s="57" t="s">
        <v>99</v>
      </c>
      <c r="E51" s="121">
        <v>20603.0</v>
      </c>
      <c r="F51" s="121">
        <v>17766.0</v>
      </c>
      <c r="G51" s="121">
        <v>19686.0</v>
      </c>
      <c r="H51" s="121">
        <v>23393.0</v>
      </c>
      <c r="I51" s="121">
        <v>24135.0</v>
      </c>
    </row>
    <row r="52">
      <c r="B52" s="120" t="s">
        <v>392</v>
      </c>
      <c r="C52" s="47"/>
      <c r="D52" s="57" t="s">
        <v>178</v>
      </c>
      <c r="E52" s="138">
        <v>4754.0</v>
      </c>
      <c r="F52" s="122">
        <v>5262.0</v>
      </c>
      <c r="G52" s="122">
        <v>5274.0</v>
      </c>
      <c r="H52" s="122">
        <v>5950.0</v>
      </c>
      <c r="I52" s="122">
        <v>6057.0</v>
      </c>
    </row>
    <row r="53">
      <c r="B53" s="120" t="s">
        <v>392</v>
      </c>
      <c r="C53" s="50"/>
      <c r="D53" s="57" t="s">
        <v>83</v>
      </c>
      <c r="E53" s="121">
        <v>3735.0</v>
      </c>
      <c r="F53" s="121">
        <v>3665.0</v>
      </c>
      <c r="G53" s="121">
        <v>3618.0</v>
      </c>
      <c r="H53" s="121">
        <v>3901.0</v>
      </c>
      <c r="I53" s="121">
        <v>3905.0</v>
      </c>
    </row>
    <row r="54">
      <c r="B54" s="133"/>
      <c r="C54" s="134"/>
      <c r="D54" s="91"/>
      <c r="E54" s="91"/>
      <c r="F54" s="134"/>
      <c r="G54" s="91"/>
      <c r="H54" s="134"/>
      <c r="I54" s="91"/>
    </row>
    <row r="55">
      <c r="B55" s="120" t="s">
        <v>392</v>
      </c>
      <c r="C55" s="69" t="s">
        <v>397</v>
      </c>
      <c r="D55" s="60" t="s">
        <v>262</v>
      </c>
      <c r="E55" s="138">
        <v>12641.0</v>
      </c>
      <c r="F55" s="121">
        <v>9070.0</v>
      </c>
      <c r="G55" s="121">
        <v>10722.0</v>
      </c>
      <c r="H55" s="121">
        <v>17166.0</v>
      </c>
      <c r="I55" s="121">
        <v>26994.0</v>
      </c>
    </row>
    <row r="56">
      <c r="B56" s="120" t="s">
        <v>392</v>
      </c>
      <c r="C56" s="137"/>
      <c r="D56" s="60" t="s">
        <v>172</v>
      </c>
      <c r="E56" s="121">
        <v>3426.0</v>
      </c>
      <c r="F56" s="122">
        <v>3478.0</v>
      </c>
      <c r="G56" s="121">
        <v>3253.0</v>
      </c>
      <c r="H56" s="121">
        <v>3494.0</v>
      </c>
      <c r="I56" s="121">
        <v>3492.0</v>
      </c>
    </row>
    <row r="57">
      <c r="B57" s="120" t="s">
        <v>392</v>
      </c>
      <c r="C57" s="47"/>
      <c r="D57" s="20" t="s">
        <v>143</v>
      </c>
      <c r="E57" s="121">
        <v>13872.0</v>
      </c>
      <c r="F57" s="121">
        <v>11440.0</v>
      </c>
      <c r="G57" s="138">
        <v>11550.0</v>
      </c>
      <c r="H57" s="138">
        <v>14812.0</v>
      </c>
      <c r="I57" s="138">
        <v>17715.0</v>
      </c>
    </row>
    <row r="58">
      <c r="B58" s="120" t="s">
        <v>392</v>
      </c>
      <c r="C58" s="47"/>
      <c r="D58" s="60" t="s">
        <v>193</v>
      </c>
      <c r="E58" s="121">
        <v>6036.0</v>
      </c>
      <c r="F58" s="121">
        <v>5822.0</v>
      </c>
      <c r="G58" s="121">
        <v>5645.0</v>
      </c>
      <c r="H58" s="121">
        <v>5971.0</v>
      </c>
      <c r="I58" s="121">
        <v>5988.0</v>
      </c>
    </row>
    <row r="59">
      <c r="B59" s="120" t="s">
        <v>392</v>
      </c>
      <c r="C59" s="47"/>
      <c r="D59" s="60" t="s">
        <v>167</v>
      </c>
      <c r="E59" s="121">
        <v>2709.0</v>
      </c>
      <c r="F59" s="121">
        <v>2739.0</v>
      </c>
      <c r="G59" s="122">
        <v>2605.0</v>
      </c>
      <c r="H59" s="122">
        <v>2701.0</v>
      </c>
      <c r="I59" s="122">
        <v>2718.0</v>
      </c>
    </row>
    <row r="60">
      <c r="B60" s="120" t="s">
        <v>398</v>
      </c>
      <c r="C60" s="47"/>
      <c r="D60" s="60" t="s">
        <v>315</v>
      </c>
      <c r="E60" s="121">
        <v>2808.0</v>
      </c>
      <c r="F60" s="122">
        <v>2809.0</v>
      </c>
      <c r="G60" s="122">
        <v>2595.0</v>
      </c>
      <c r="H60" s="122">
        <v>2764.0</v>
      </c>
      <c r="I60" s="122">
        <v>2923.0</v>
      </c>
    </row>
    <row r="61">
      <c r="B61" s="120" t="s">
        <v>392</v>
      </c>
      <c r="C61" s="47"/>
      <c r="D61" s="60" t="s">
        <v>191</v>
      </c>
      <c r="E61" s="121">
        <v>2981.0</v>
      </c>
      <c r="F61" s="121">
        <v>3023.0</v>
      </c>
      <c r="G61" s="121">
        <v>2859.0</v>
      </c>
      <c r="H61" s="121">
        <v>3014.0</v>
      </c>
      <c r="I61" s="121">
        <v>3026.0</v>
      </c>
    </row>
    <row r="62">
      <c r="B62" s="120" t="s">
        <v>398</v>
      </c>
      <c r="C62" s="47"/>
      <c r="D62" s="60" t="s">
        <v>273</v>
      </c>
      <c r="E62" s="121">
        <v>4698.0</v>
      </c>
      <c r="F62" s="122">
        <v>4612.0</v>
      </c>
      <c r="G62" s="122">
        <v>4473.0</v>
      </c>
      <c r="H62" s="122">
        <v>4633.0</v>
      </c>
      <c r="I62" s="122">
        <v>4682.0</v>
      </c>
    </row>
    <row r="63">
      <c r="B63" s="120" t="s">
        <v>392</v>
      </c>
      <c r="C63" s="47"/>
      <c r="D63" s="20" t="s">
        <v>148</v>
      </c>
      <c r="E63" s="121">
        <v>3535.0</v>
      </c>
      <c r="F63" s="122">
        <v>3606.0</v>
      </c>
      <c r="G63" s="121">
        <v>3350.0</v>
      </c>
      <c r="H63" s="121">
        <v>3605.0</v>
      </c>
      <c r="I63" s="121">
        <v>3615.0</v>
      </c>
    </row>
    <row r="64">
      <c r="B64" s="120" t="s">
        <v>392</v>
      </c>
      <c r="C64" s="47"/>
      <c r="D64" s="20" t="s">
        <v>264</v>
      </c>
      <c r="E64" s="121">
        <v>3055.0</v>
      </c>
      <c r="F64" s="122">
        <v>2927.0</v>
      </c>
      <c r="G64" s="122">
        <v>2780.0</v>
      </c>
      <c r="H64" s="122">
        <v>3311.0</v>
      </c>
      <c r="I64" s="122">
        <v>3388.0</v>
      </c>
    </row>
    <row r="65">
      <c r="B65" s="120" t="s">
        <v>392</v>
      </c>
      <c r="C65" s="47"/>
      <c r="D65" s="60" t="s">
        <v>279</v>
      </c>
      <c r="E65" s="121">
        <v>3171.0</v>
      </c>
      <c r="F65" s="121">
        <v>2742.0</v>
      </c>
      <c r="G65" s="121">
        <v>3166.0</v>
      </c>
      <c r="H65" s="121">
        <v>3459.0</v>
      </c>
      <c r="I65" s="121">
        <v>3494.0</v>
      </c>
    </row>
    <row r="66">
      <c r="B66" s="120" t="s">
        <v>392</v>
      </c>
      <c r="C66" s="47"/>
      <c r="D66" s="60" t="s">
        <v>165</v>
      </c>
      <c r="E66" s="121">
        <v>1309.0</v>
      </c>
      <c r="F66" s="121">
        <v>949.0</v>
      </c>
      <c r="G66" s="121">
        <v>1090.0</v>
      </c>
      <c r="H66" s="121">
        <v>1296.0</v>
      </c>
      <c r="I66" s="121">
        <v>1340.0</v>
      </c>
    </row>
    <row r="67">
      <c r="B67" s="120" t="s">
        <v>392</v>
      </c>
      <c r="C67" s="47"/>
      <c r="D67" s="60" t="s">
        <v>274</v>
      </c>
      <c r="E67" s="121">
        <v>4206.0</v>
      </c>
      <c r="F67" s="121">
        <v>4127.0</v>
      </c>
      <c r="G67" s="122">
        <v>3953.0</v>
      </c>
      <c r="H67" s="122">
        <v>4051.0</v>
      </c>
      <c r="I67" s="122">
        <v>4056.0</v>
      </c>
    </row>
    <row r="68">
      <c r="B68" s="120" t="s">
        <v>392</v>
      </c>
      <c r="C68" s="47"/>
      <c r="D68" s="60" t="s">
        <v>280</v>
      </c>
      <c r="E68" s="121">
        <v>3106.0</v>
      </c>
      <c r="F68" s="121">
        <v>3065.0</v>
      </c>
      <c r="G68" s="121">
        <v>3082.0</v>
      </c>
      <c r="H68" s="121">
        <v>3152.0</v>
      </c>
      <c r="I68" s="121">
        <v>3152.0</v>
      </c>
    </row>
    <row r="69">
      <c r="B69" s="120" t="s">
        <v>392</v>
      </c>
      <c r="C69" s="47"/>
      <c r="D69" s="60" t="s">
        <v>159</v>
      </c>
      <c r="E69" s="121">
        <v>2946.0</v>
      </c>
      <c r="F69" s="121">
        <v>2428.0</v>
      </c>
      <c r="G69" s="121">
        <v>2659.0</v>
      </c>
      <c r="H69" s="121">
        <v>2786.0</v>
      </c>
      <c r="I69" s="121">
        <v>2889.0</v>
      </c>
    </row>
    <row r="70">
      <c r="B70" s="120" t="s">
        <v>392</v>
      </c>
      <c r="C70" s="47"/>
      <c r="D70" s="20" t="s">
        <v>155</v>
      </c>
      <c r="E70" s="121">
        <v>3006.0</v>
      </c>
      <c r="F70" s="121">
        <v>2991.0</v>
      </c>
      <c r="G70" s="121">
        <v>2819.0</v>
      </c>
      <c r="H70" s="121">
        <v>3008.0</v>
      </c>
      <c r="I70" s="121">
        <v>3005.0</v>
      </c>
    </row>
    <row r="71">
      <c r="B71" s="120" t="s">
        <v>392</v>
      </c>
      <c r="C71" s="47"/>
      <c r="D71" s="60" t="s">
        <v>152</v>
      </c>
      <c r="E71" s="121">
        <v>1949.0</v>
      </c>
      <c r="F71" s="122">
        <v>1877.0</v>
      </c>
      <c r="G71" s="122">
        <v>1889.0</v>
      </c>
      <c r="H71" s="122">
        <v>1942.0</v>
      </c>
      <c r="I71" s="122">
        <v>1945.0</v>
      </c>
    </row>
    <row r="72">
      <c r="B72" s="120" t="s">
        <v>392</v>
      </c>
      <c r="C72" s="47"/>
      <c r="D72" s="60" t="s">
        <v>196</v>
      </c>
      <c r="E72" s="121">
        <v>8400.0</v>
      </c>
      <c r="F72" s="121">
        <v>9005.0</v>
      </c>
      <c r="G72" s="121">
        <v>7824.0</v>
      </c>
      <c r="H72" s="121">
        <v>9057.0</v>
      </c>
      <c r="I72" s="121">
        <v>9241.0</v>
      </c>
    </row>
    <row r="73">
      <c r="B73" s="120" t="s">
        <v>392</v>
      </c>
      <c r="C73" s="47"/>
      <c r="D73" s="60" t="s">
        <v>270</v>
      </c>
      <c r="E73" s="121">
        <v>4493.0</v>
      </c>
      <c r="F73" s="80">
        <v>4242.0</v>
      </c>
      <c r="G73" s="121">
        <v>4264.0</v>
      </c>
      <c r="H73" s="121">
        <v>4578.0</v>
      </c>
      <c r="I73" s="121">
        <v>4592.0</v>
      </c>
    </row>
    <row r="74">
      <c r="B74" s="120" t="s">
        <v>392</v>
      </c>
      <c r="C74" s="47"/>
      <c r="D74" s="60" t="s">
        <v>260</v>
      </c>
      <c r="E74" s="121">
        <v>6808.0</v>
      </c>
      <c r="F74" s="121">
        <v>6513.0</v>
      </c>
      <c r="G74" s="121">
        <v>6141.0</v>
      </c>
      <c r="H74" s="121">
        <v>6666.0</v>
      </c>
      <c r="I74" s="121">
        <v>7211.0</v>
      </c>
    </row>
    <row r="75">
      <c r="B75" s="120" t="s">
        <v>392</v>
      </c>
      <c r="C75" s="47"/>
      <c r="D75" s="20" t="s">
        <v>297</v>
      </c>
      <c r="E75" s="121">
        <v>4166.0</v>
      </c>
      <c r="F75" s="122">
        <v>4308.0</v>
      </c>
      <c r="G75" s="121">
        <v>3859.0</v>
      </c>
      <c r="H75" s="121">
        <v>4254.0</v>
      </c>
      <c r="I75" s="121">
        <v>4244.0</v>
      </c>
    </row>
    <row r="76">
      <c r="B76" s="120" t="s">
        <v>392</v>
      </c>
      <c r="C76" s="47"/>
      <c r="D76" s="60" t="s">
        <v>277</v>
      </c>
      <c r="E76" s="121">
        <v>4694.0</v>
      </c>
      <c r="F76" s="121">
        <v>4838.0</v>
      </c>
      <c r="G76" s="121">
        <v>4382.0</v>
      </c>
      <c r="H76" s="121">
        <v>4888.0</v>
      </c>
      <c r="I76" s="121">
        <v>4885.0</v>
      </c>
    </row>
    <row r="77">
      <c r="B77" s="120" t="s">
        <v>392</v>
      </c>
      <c r="C77" s="47"/>
      <c r="D77" s="20" t="s">
        <v>92</v>
      </c>
      <c r="E77" s="121">
        <v>6915.0</v>
      </c>
      <c r="F77" s="122">
        <v>7015.0</v>
      </c>
      <c r="G77" s="122">
        <v>6366.0</v>
      </c>
      <c r="H77" s="122">
        <v>7543.0</v>
      </c>
      <c r="I77" s="122">
        <v>8459.0</v>
      </c>
    </row>
    <row r="78">
      <c r="B78" s="120" t="s">
        <v>398</v>
      </c>
      <c r="C78" s="47"/>
      <c r="D78" s="60" t="s">
        <v>317</v>
      </c>
      <c r="E78" s="121">
        <v>6653.0</v>
      </c>
      <c r="F78" s="121">
        <v>6712.0</v>
      </c>
      <c r="G78" s="121">
        <v>6307.0</v>
      </c>
      <c r="H78" s="121">
        <v>6594.0</v>
      </c>
      <c r="I78" s="121">
        <v>6842.0</v>
      </c>
    </row>
    <row r="79">
      <c r="B79" s="120" t="s">
        <v>392</v>
      </c>
      <c r="C79" s="47"/>
      <c r="D79" s="20" t="s">
        <v>229</v>
      </c>
      <c r="E79" s="121">
        <v>7045.0</v>
      </c>
      <c r="F79" s="122">
        <v>6198.0</v>
      </c>
      <c r="G79" s="122">
        <v>6213.0</v>
      </c>
      <c r="H79" s="122">
        <v>7828.0</v>
      </c>
      <c r="I79" s="122">
        <v>9479.0</v>
      </c>
    </row>
    <row r="80">
      <c r="B80" s="120" t="s">
        <v>392</v>
      </c>
      <c r="C80" s="47"/>
      <c r="D80" s="20" t="s">
        <v>147</v>
      </c>
      <c r="E80" s="121">
        <v>2840.0</v>
      </c>
      <c r="F80" s="122">
        <v>2747.0</v>
      </c>
      <c r="G80" s="122">
        <v>2738.0</v>
      </c>
      <c r="H80" s="122">
        <v>2828.0</v>
      </c>
      <c r="I80" s="122">
        <v>2829.0</v>
      </c>
    </row>
    <row r="81">
      <c r="B81" s="120" t="s">
        <v>392</v>
      </c>
      <c r="C81" s="47"/>
      <c r="D81" s="60" t="s">
        <v>316</v>
      </c>
      <c r="E81" s="121">
        <v>3283.0</v>
      </c>
      <c r="F81" s="121">
        <v>3366.0</v>
      </c>
      <c r="G81" s="121">
        <v>3074.0</v>
      </c>
      <c r="H81" s="121">
        <v>3240.0</v>
      </c>
      <c r="I81" s="121">
        <v>3251.0</v>
      </c>
    </row>
    <row r="82">
      <c r="B82" s="120" t="s">
        <v>392</v>
      </c>
      <c r="C82" s="47"/>
      <c r="D82" s="60" t="s">
        <v>194</v>
      </c>
      <c r="E82" s="121">
        <v>4705.0</v>
      </c>
      <c r="F82" s="121">
        <v>4694.0</v>
      </c>
      <c r="G82" s="121">
        <v>4280.0</v>
      </c>
      <c r="H82" s="121">
        <v>4619.0</v>
      </c>
      <c r="I82" s="121">
        <v>4601.0</v>
      </c>
    </row>
    <row r="83">
      <c r="B83" s="120" t="s">
        <v>398</v>
      </c>
      <c r="C83" s="47"/>
      <c r="D83" s="60" t="s">
        <v>197</v>
      </c>
      <c r="E83" s="121">
        <v>3628.0</v>
      </c>
      <c r="F83" s="121">
        <v>3337.0</v>
      </c>
      <c r="G83" s="121">
        <v>3390.0</v>
      </c>
      <c r="H83" s="121">
        <v>3214.0</v>
      </c>
      <c r="I83" s="121">
        <v>3212.0</v>
      </c>
    </row>
    <row r="84">
      <c r="B84" s="120" t="s">
        <v>392</v>
      </c>
      <c r="C84" s="47"/>
      <c r="D84" s="60" t="s">
        <v>186</v>
      </c>
      <c r="E84" s="121">
        <v>5392.0</v>
      </c>
      <c r="F84" s="121">
        <v>5590.0</v>
      </c>
      <c r="G84" s="121">
        <v>5006.0</v>
      </c>
      <c r="H84" s="121">
        <v>5762.0</v>
      </c>
      <c r="I84" s="121">
        <v>5790.0</v>
      </c>
    </row>
    <row r="85">
      <c r="B85" s="120" t="s">
        <v>392</v>
      </c>
      <c r="C85" s="47"/>
      <c r="D85" s="60" t="s">
        <v>190</v>
      </c>
      <c r="E85" s="121">
        <v>3776.0</v>
      </c>
      <c r="F85" s="121">
        <v>3702.0</v>
      </c>
      <c r="G85" s="121">
        <v>3616.0</v>
      </c>
      <c r="H85" s="121">
        <v>3747.0</v>
      </c>
      <c r="I85" s="121">
        <v>3765.0</v>
      </c>
    </row>
    <row r="86">
      <c r="B86" s="120" t="s">
        <v>392</v>
      </c>
      <c r="C86" s="47"/>
      <c r="D86" s="20" t="s">
        <v>284</v>
      </c>
      <c r="E86" s="121">
        <v>7891.0</v>
      </c>
      <c r="F86" s="122">
        <v>6972.0</v>
      </c>
      <c r="G86" s="122">
        <v>7482.0</v>
      </c>
      <c r="H86" s="122">
        <v>7441.0</v>
      </c>
      <c r="I86" s="122">
        <v>7540.0</v>
      </c>
    </row>
    <row r="87">
      <c r="B87" s="120" t="s">
        <v>392</v>
      </c>
      <c r="C87" s="47"/>
      <c r="D87" s="60" t="s">
        <v>330</v>
      </c>
      <c r="E87" s="121">
        <v>2531.0</v>
      </c>
      <c r="F87" s="121">
        <v>2584.0</v>
      </c>
      <c r="G87" s="121">
        <v>2253.0</v>
      </c>
      <c r="H87" s="121">
        <v>2533.0</v>
      </c>
      <c r="I87" s="121">
        <v>2536.0</v>
      </c>
    </row>
    <row r="88">
      <c r="B88" s="120" t="s">
        <v>392</v>
      </c>
      <c r="C88" s="47"/>
      <c r="D88" s="20" t="s">
        <v>233</v>
      </c>
      <c r="E88" s="121">
        <v>3881.0</v>
      </c>
      <c r="F88" s="121">
        <v>3815.0</v>
      </c>
      <c r="G88" s="121">
        <v>3563.0</v>
      </c>
      <c r="H88" s="121">
        <v>3978.0</v>
      </c>
      <c r="I88" s="121">
        <v>4016.0</v>
      </c>
    </row>
    <row r="89">
      <c r="B89" s="120" t="s">
        <v>392</v>
      </c>
      <c r="C89" s="47"/>
      <c r="D89" s="20" t="s">
        <v>271</v>
      </c>
      <c r="E89" s="121">
        <v>4547.0</v>
      </c>
      <c r="F89" s="122">
        <v>4250.0</v>
      </c>
      <c r="G89" s="122">
        <v>3895.0</v>
      </c>
      <c r="H89" s="122">
        <v>5290.0</v>
      </c>
      <c r="I89" s="122">
        <v>5751.0</v>
      </c>
    </row>
    <row r="90">
      <c r="B90" s="120" t="s">
        <v>392</v>
      </c>
      <c r="C90" s="47"/>
      <c r="D90" s="60" t="s">
        <v>16</v>
      </c>
      <c r="E90" s="121">
        <v>7679.0</v>
      </c>
      <c r="F90" s="122">
        <v>8375.0</v>
      </c>
      <c r="G90" s="122">
        <v>6773.0</v>
      </c>
      <c r="H90" s="122">
        <v>8941.0</v>
      </c>
      <c r="I90" s="122">
        <v>9001.0</v>
      </c>
    </row>
    <row r="91">
      <c r="B91" s="120" t="s">
        <v>398</v>
      </c>
      <c r="C91" s="47"/>
      <c r="D91" s="60" t="s">
        <v>221</v>
      </c>
      <c r="E91" s="121">
        <v>4234.0</v>
      </c>
      <c r="F91" s="121">
        <v>4278.0</v>
      </c>
      <c r="G91" s="121">
        <v>3850.0</v>
      </c>
      <c r="H91" s="121">
        <v>4272.0</v>
      </c>
      <c r="I91" s="121">
        <v>4284.0</v>
      </c>
    </row>
    <row r="92">
      <c r="B92" s="120" t="s">
        <v>392</v>
      </c>
      <c r="C92" s="47"/>
      <c r="D92" s="20" t="s">
        <v>261</v>
      </c>
      <c r="E92" s="138">
        <v>3782.0</v>
      </c>
      <c r="F92" s="138">
        <v>3692.0</v>
      </c>
      <c r="G92" s="121">
        <v>3587.0</v>
      </c>
      <c r="H92" s="121">
        <v>3808.0</v>
      </c>
      <c r="I92" s="121">
        <v>3914.0</v>
      </c>
    </row>
    <row r="93">
      <c r="B93" s="120" t="s">
        <v>392</v>
      </c>
      <c r="C93" s="47"/>
      <c r="D93" s="20" t="s">
        <v>295</v>
      </c>
      <c r="E93" s="121">
        <v>5576.0</v>
      </c>
      <c r="F93" s="122">
        <v>5129.0</v>
      </c>
      <c r="G93" s="121">
        <v>4945.0</v>
      </c>
      <c r="H93" s="121">
        <v>5777.0</v>
      </c>
      <c r="I93" s="121">
        <v>5752.0</v>
      </c>
    </row>
    <row r="94">
      <c r="B94" s="120" t="s">
        <v>392</v>
      </c>
      <c r="C94" s="47"/>
      <c r="D94" s="20" t="s">
        <v>149</v>
      </c>
      <c r="E94" s="121">
        <v>3794.0</v>
      </c>
      <c r="F94" s="121">
        <v>3860.0</v>
      </c>
      <c r="G94" s="121">
        <v>3619.0</v>
      </c>
      <c r="H94" s="121">
        <v>3927.0</v>
      </c>
      <c r="I94" s="121">
        <v>3926.0</v>
      </c>
    </row>
    <row r="95">
      <c r="B95" s="120" t="s">
        <v>392</v>
      </c>
      <c r="C95" s="47"/>
      <c r="D95" s="20" t="s">
        <v>170</v>
      </c>
      <c r="E95" s="121">
        <v>6095.0</v>
      </c>
      <c r="F95" s="121">
        <v>5624.0</v>
      </c>
      <c r="G95" s="121">
        <v>6253.0</v>
      </c>
      <c r="H95" s="121">
        <v>7301.0</v>
      </c>
      <c r="I95" s="121">
        <v>7343.0</v>
      </c>
    </row>
    <row r="96">
      <c r="B96" s="120" t="s">
        <v>392</v>
      </c>
      <c r="C96" s="47"/>
      <c r="D96" s="60" t="s">
        <v>189</v>
      </c>
      <c r="E96" s="121">
        <v>1561.0</v>
      </c>
      <c r="F96" s="121">
        <v>1563.0</v>
      </c>
      <c r="G96" s="121">
        <v>1562.0</v>
      </c>
      <c r="H96" s="121">
        <v>1570.0</v>
      </c>
      <c r="I96" s="121">
        <v>1559.0</v>
      </c>
    </row>
    <row r="97">
      <c r="B97" s="120" t="s">
        <v>392</v>
      </c>
      <c r="C97" s="47"/>
      <c r="D97" s="60" t="s">
        <v>275</v>
      </c>
      <c r="E97" s="121">
        <v>3175.0</v>
      </c>
      <c r="F97" s="121">
        <v>2976.0</v>
      </c>
      <c r="G97" s="122">
        <v>2940.0</v>
      </c>
      <c r="H97" s="122">
        <v>3210.0</v>
      </c>
      <c r="I97" s="122">
        <v>3226.0</v>
      </c>
    </row>
    <row r="98">
      <c r="B98" s="120" t="s">
        <v>392</v>
      </c>
      <c r="C98" s="47"/>
      <c r="D98" s="20" t="s">
        <v>236</v>
      </c>
      <c r="E98" s="121">
        <v>2879.0</v>
      </c>
      <c r="F98" s="121">
        <v>2786.0</v>
      </c>
      <c r="G98" s="121">
        <v>2827.0</v>
      </c>
      <c r="H98" s="121">
        <v>2880.0</v>
      </c>
      <c r="I98" s="121">
        <v>2887.0</v>
      </c>
    </row>
    <row r="99">
      <c r="B99" s="120" t="s">
        <v>392</v>
      </c>
      <c r="C99" s="47"/>
      <c r="D99" s="20" t="s">
        <v>137</v>
      </c>
      <c r="E99" s="121">
        <v>4078.0</v>
      </c>
      <c r="F99" s="121">
        <v>4063.0</v>
      </c>
      <c r="G99" s="121">
        <v>3977.0</v>
      </c>
      <c r="H99" s="121">
        <v>4076.0</v>
      </c>
      <c r="I99" s="121">
        <v>4085.0</v>
      </c>
    </row>
    <row r="100">
      <c r="B100" s="120" t="s">
        <v>392</v>
      </c>
      <c r="C100" s="47"/>
      <c r="D100" s="20" t="s">
        <v>97</v>
      </c>
      <c r="E100" s="121">
        <v>5416.0</v>
      </c>
      <c r="F100" s="122">
        <v>4885.0</v>
      </c>
      <c r="G100" s="122">
        <v>4617.0</v>
      </c>
      <c r="H100" s="122">
        <v>5282.0</v>
      </c>
      <c r="I100" s="122">
        <v>5441.0</v>
      </c>
    </row>
    <row r="101">
      <c r="B101" s="120" t="s">
        <v>392</v>
      </c>
      <c r="C101" s="47"/>
      <c r="D101" s="20" t="s">
        <v>322</v>
      </c>
      <c r="E101" s="138">
        <v>8288.0</v>
      </c>
      <c r="F101" s="122">
        <v>8104.0</v>
      </c>
      <c r="G101" s="121">
        <v>7532.0</v>
      </c>
      <c r="H101" s="121">
        <v>8348.0</v>
      </c>
      <c r="I101" s="121">
        <v>8334.0</v>
      </c>
    </row>
    <row r="102">
      <c r="B102" s="120" t="s">
        <v>392</v>
      </c>
      <c r="C102" s="47"/>
      <c r="D102" s="60" t="s">
        <v>174</v>
      </c>
      <c r="E102" s="121">
        <v>3056.0</v>
      </c>
      <c r="F102" s="122">
        <v>3074.0</v>
      </c>
      <c r="G102" s="121">
        <v>2943.0</v>
      </c>
      <c r="H102" s="121">
        <v>3024.0</v>
      </c>
      <c r="I102" s="121">
        <v>3029.0</v>
      </c>
    </row>
    <row r="103">
      <c r="B103" s="120" t="s">
        <v>392</v>
      </c>
      <c r="C103" s="47"/>
      <c r="D103" s="60" t="s">
        <v>282</v>
      </c>
      <c r="E103" s="121">
        <v>3454.0</v>
      </c>
      <c r="F103" s="122">
        <v>3429.0</v>
      </c>
      <c r="G103" s="121">
        <v>3377.0</v>
      </c>
      <c r="H103" s="121">
        <v>3420.0</v>
      </c>
      <c r="I103" s="121">
        <v>3460.0</v>
      </c>
    </row>
    <row r="104">
      <c r="B104" s="120" t="s">
        <v>392</v>
      </c>
      <c r="C104" s="47"/>
      <c r="D104" s="20" t="s">
        <v>142</v>
      </c>
      <c r="E104" s="121">
        <v>3859.0</v>
      </c>
      <c r="F104" s="121">
        <v>3731.0</v>
      </c>
      <c r="G104" s="121">
        <v>3754.0</v>
      </c>
      <c r="H104" s="121">
        <v>3748.0</v>
      </c>
      <c r="I104" s="121">
        <v>3840.0</v>
      </c>
    </row>
    <row r="105">
      <c r="B105" s="120" t="s">
        <v>392</v>
      </c>
      <c r="C105" s="47"/>
      <c r="D105" s="60" t="s">
        <v>177</v>
      </c>
      <c r="E105" s="138">
        <v>4274.0</v>
      </c>
      <c r="F105" s="121">
        <v>4233.0</v>
      </c>
      <c r="G105" s="121">
        <v>4245.0</v>
      </c>
      <c r="H105" s="121">
        <v>4322.0</v>
      </c>
      <c r="I105" s="121">
        <v>4363.0</v>
      </c>
    </row>
    <row r="106">
      <c r="B106" s="120" t="s">
        <v>398</v>
      </c>
      <c r="C106" s="47"/>
      <c r="D106" s="20" t="s">
        <v>238</v>
      </c>
      <c r="E106" s="121">
        <v>2090.0</v>
      </c>
      <c r="F106" s="121">
        <v>2117.0</v>
      </c>
      <c r="G106" s="121">
        <v>2058.0</v>
      </c>
      <c r="H106" s="121">
        <v>2131.0</v>
      </c>
      <c r="I106" s="121">
        <v>2131.0</v>
      </c>
    </row>
    <row r="107">
      <c r="B107" s="120" t="s">
        <v>392</v>
      </c>
      <c r="C107" s="47"/>
      <c r="D107" s="20" t="s">
        <v>139</v>
      </c>
      <c r="E107" s="121">
        <v>7420.0</v>
      </c>
      <c r="F107" s="122">
        <v>7219.0</v>
      </c>
      <c r="G107" s="121">
        <v>6727.0</v>
      </c>
      <c r="H107" s="121">
        <v>7413.0</v>
      </c>
      <c r="I107" s="121">
        <v>7419.0</v>
      </c>
    </row>
    <row r="108">
      <c r="B108" s="120" t="s">
        <v>392</v>
      </c>
      <c r="C108" s="47"/>
      <c r="D108" s="20" t="s">
        <v>135</v>
      </c>
      <c r="E108" s="121">
        <v>5723.0</v>
      </c>
      <c r="F108" s="122">
        <v>5515.0</v>
      </c>
      <c r="G108" s="121">
        <v>5186.0</v>
      </c>
      <c r="H108" s="121">
        <v>5816.0</v>
      </c>
      <c r="I108" s="121">
        <v>5817.0</v>
      </c>
    </row>
    <row r="109">
      <c r="B109" s="120" t="s">
        <v>392</v>
      </c>
      <c r="C109" s="47"/>
      <c r="D109" s="60" t="s">
        <v>259</v>
      </c>
      <c r="E109" s="121">
        <v>2300.0</v>
      </c>
      <c r="F109" s="121">
        <v>2246.0</v>
      </c>
      <c r="G109" s="121">
        <v>2234.0</v>
      </c>
      <c r="H109" s="121">
        <v>2271.0</v>
      </c>
      <c r="I109" s="121">
        <v>2301.0</v>
      </c>
    </row>
    <row r="110">
      <c r="B110" s="120" t="s">
        <v>392</v>
      </c>
      <c r="C110" s="47"/>
      <c r="D110" s="20" t="s">
        <v>157</v>
      </c>
      <c r="E110" s="121">
        <v>2995.0</v>
      </c>
      <c r="F110" s="121">
        <v>2532.0</v>
      </c>
      <c r="G110" s="121">
        <v>2830.0</v>
      </c>
      <c r="H110" s="121">
        <v>3063.0</v>
      </c>
      <c r="I110" s="121">
        <v>3058.0</v>
      </c>
    </row>
    <row r="111">
      <c r="B111" s="120" t="s">
        <v>392</v>
      </c>
      <c r="C111" s="47"/>
      <c r="D111" s="60" t="s">
        <v>162</v>
      </c>
      <c r="E111" s="121">
        <v>1409.0</v>
      </c>
      <c r="F111" s="121">
        <v>1400.0</v>
      </c>
      <c r="G111" s="121">
        <v>1402.0</v>
      </c>
      <c r="H111" s="121">
        <v>1410.0</v>
      </c>
      <c r="I111" s="121">
        <v>1409.0</v>
      </c>
    </row>
    <row r="112">
      <c r="B112" s="120" t="s">
        <v>398</v>
      </c>
      <c r="C112" s="47"/>
      <c r="D112" s="60" t="s">
        <v>219</v>
      </c>
      <c r="E112" s="121">
        <v>6257.0</v>
      </c>
      <c r="F112" s="121">
        <v>6648.0</v>
      </c>
      <c r="G112" s="121">
        <v>5591.0</v>
      </c>
      <c r="H112" s="121">
        <v>6347.0</v>
      </c>
      <c r="I112" s="121">
        <v>6314.0</v>
      </c>
    </row>
    <row r="113">
      <c r="B113" s="120" t="s">
        <v>392</v>
      </c>
      <c r="C113" s="47"/>
      <c r="D113" s="20" t="s">
        <v>153</v>
      </c>
      <c r="E113" s="121">
        <v>2263.0</v>
      </c>
      <c r="F113" s="121">
        <v>2202.0</v>
      </c>
      <c r="G113" s="121">
        <v>2088.0</v>
      </c>
      <c r="H113" s="121">
        <v>2151.0</v>
      </c>
      <c r="I113" s="121">
        <v>2173.0</v>
      </c>
    </row>
    <row r="114">
      <c r="B114" s="120" t="s">
        <v>392</v>
      </c>
      <c r="C114" s="47"/>
      <c r="D114" s="20" t="s">
        <v>234</v>
      </c>
      <c r="E114" s="121">
        <v>6319.0</v>
      </c>
      <c r="F114" s="121">
        <v>5792.0</v>
      </c>
      <c r="G114" s="121">
        <v>5487.0</v>
      </c>
      <c r="H114" s="121">
        <v>6650.0</v>
      </c>
      <c r="I114" s="121">
        <v>7019.0</v>
      </c>
    </row>
    <row r="115">
      <c r="B115" s="120" t="s">
        <v>392</v>
      </c>
      <c r="C115" s="47"/>
      <c r="D115" s="20" t="s">
        <v>55</v>
      </c>
      <c r="E115" s="121">
        <v>3501.0</v>
      </c>
      <c r="F115" s="122">
        <v>3250.0</v>
      </c>
      <c r="G115" s="122">
        <v>3224.0</v>
      </c>
      <c r="H115" s="122">
        <v>3438.0</v>
      </c>
      <c r="I115" s="122">
        <v>3447.0</v>
      </c>
    </row>
    <row r="116">
      <c r="B116" s="120" t="s">
        <v>392</v>
      </c>
      <c r="C116" s="47"/>
      <c r="D116" s="20" t="s">
        <v>144</v>
      </c>
      <c r="E116" s="121">
        <v>2770.0</v>
      </c>
      <c r="F116" s="122">
        <v>2678.0</v>
      </c>
      <c r="G116" s="121">
        <v>2627.0</v>
      </c>
      <c r="H116" s="121">
        <v>2840.0</v>
      </c>
      <c r="I116" s="121">
        <v>2877.0</v>
      </c>
    </row>
    <row r="117">
      <c r="B117" s="120" t="s">
        <v>392</v>
      </c>
      <c r="C117" s="47"/>
      <c r="D117" s="20" t="s">
        <v>313</v>
      </c>
      <c r="E117" s="121">
        <v>2998.0</v>
      </c>
      <c r="F117" s="121">
        <v>2828.0</v>
      </c>
      <c r="G117" s="121">
        <v>2893.0</v>
      </c>
      <c r="H117" s="121">
        <v>3258.0</v>
      </c>
      <c r="I117" s="121">
        <v>3327.0</v>
      </c>
    </row>
    <row r="118">
      <c r="B118" s="120" t="s">
        <v>392</v>
      </c>
      <c r="C118" s="47"/>
      <c r="D118" s="60" t="s">
        <v>164</v>
      </c>
      <c r="E118" s="121">
        <v>1742.0</v>
      </c>
      <c r="F118" s="121">
        <v>1569.0</v>
      </c>
      <c r="G118" s="121">
        <v>1583.0</v>
      </c>
      <c r="H118" s="121">
        <v>1639.0</v>
      </c>
      <c r="I118" s="121">
        <v>1675.0</v>
      </c>
    </row>
    <row r="119">
      <c r="B119" s="120" t="s">
        <v>392</v>
      </c>
      <c r="C119" s="47"/>
      <c r="D119" s="20" t="s">
        <v>365</v>
      </c>
      <c r="E119" s="121">
        <v>3423.0</v>
      </c>
      <c r="F119" s="121">
        <v>3789.0</v>
      </c>
      <c r="G119" s="121">
        <v>2815.0</v>
      </c>
      <c r="H119" s="121">
        <v>4204.0</v>
      </c>
      <c r="I119" s="121">
        <v>5293.0</v>
      </c>
    </row>
    <row r="120">
      <c r="B120" s="120" t="s">
        <v>392</v>
      </c>
      <c r="C120" s="47"/>
      <c r="D120" s="20" t="s">
        <v>335</v>
      </c>
      <c r="E120" s="121">
        <v>2639.0</v>
      </c>
      <c r="F120" s="121">
        <v>2812.0</v>
      </c>
      <c r="G120" s="121">
        <v>2607.0</v>
      </c>
      <c r="H120" s="121">
        <v>3108.0</v>
      </c>
      <c r="I120" s="121">
        <v>3237.0</v>
      </c>
    </row>
    <row r="121">
      <c r="B121" s="120" t="s">
        <v>392</v>
      </c>
      <c r="C121" s="47"/>
      <c r="D121" s="20" t="s">
        <v>288</v>
      </c>
      <c r="E121" s="121">
        <v>10774.0</v>
      </c>
      <c r="F121" s="121">
        <v>8706.0</v>
      </c>
      <c r="G121" s="121">
        <v>9135.0</v>
      </c>
      <c r="H121" s="121">
        <v>12815.0</v>
      </c>
      <c r="I121" s="121">
        <v>14968.0</v>
      </c>
    </row>
    <row r="122">
      <c r="B122" s="120" t="s">
        <v>392</v>
      </c>
      <c r="C122" s="47"/>
      <c r="D122" s="20" t="s">
        <v>138</v>
      </c>
      <c r="E122" s="121">
        <v>3089.0</v>
      </c>
      <c r="F122" s="121">
        <v>3067.0</v>
      </c>
      <c r="G122" s="80">
        <v>3021.0</v>
      </c>
      <c r="H122" s="121">
        <v>3099.0</v>
      </c>
      <c r="I122" s="121">
        <v>3104.0</v>
      </c>
    </row>
    <row r="123">
      <c r="B123" s="120" t="s">
        <v>392</v>
      </c>
      <c r="C123" s="47"/>
      <c r="D123" s="20" t="s">
        <v>311</v>
      </c>
      <c r="E123" s="121">
        <v>4702.0</v>
      </c>
      <c r="F123" s="121">
        <v>4684.0</v>
      </c>
      <c r="G123" s="121">
        <v>4608.0</v>
      </c>
      <c r="H123" s="121">
        <v>4727.0</v>
      </c>
      <c r="I123" s="121">
        <v>4725.0</v>
      </c>
    </row>
    <row r="124">
      <c r="B124" s="120" t="s">
        <v>392</v>
      </c>
      <c r="C124" s="47"/>
      <c r="D124" s="60" t="s">
        <v>258</v>
      </c>
      <c r="E124" s="121">
        <v>12896.0</v>
      </c>
      <c r="F124" s="138">
        <v>10569.0</v>
      </c>
      <c r="G124" s="121">
        <v>10798.0</v>
      </c>
      <c r="H124" s="121">
        <v>14985.0</v>
      </c>
      <c r="I124" s="121">
        <v>16302.0</v>
      </c>
    </row>
    <row r="125">
      <c r="B125" s="120" t="s">
        <v>392</v>
      </c>
      <c r="C125" s="47"/>
      <c r="D125" s="60" t="s">
        <v>257</v>
      </c>
      <c r="E125" s="121">
        <v>8115.0</v>
      </c>
      <c r="F125" s="122">
        <v>7744.0</v>
      </c>
      <c r="G125" s="122">
        <v>7085.0</v>
      </c>
      <c r="H125" s="122">
        <v>8714.0</v>
      </c>
      <c r="I125" s="122">
        <v>9240.0</v>
      </c>
    </row>
    <row r="126">
      <c r="B126" s="120" t="s">
        <v>392</v>
      </c>
      <c r="C126" s="47"/>
      <c r="D126" s="20" t="s">
        <v>38</v>
      </c>
      <c r="E126" s="121">
        <v>1882.0</v>
      </c>
      <c r="F126" s="122">
        <v>1847.0</v>
      </c>
      <c r="G126" s="122">
        <v>1838.0</v>
      </c>
      <c r="H126" s="122">
        <v>1888.0</v>
      </c>
      <c r="I126" s="122">
        <v>1892.0</v>
      </c>
    </row>
    <row r="127">
      <c r="B127" s="120" t="s">
        <v>392</v>
      </c>
      <c r="C127" s="47"/>
      <c r="D127" s="20" t="s">
        <v>150</v>
      </c>
      <c r="E127" s="121">
        <v>3383.0</v>
      </c>
      <c r="F127" s="122">
        <v>3187.0</v>
      </c>
      <c r="G127" s="122">
        <v>3185.0</v>
      </c>
      <c r="H127" s="122">
        <v>3270.0</v>
      </c>
      <c r="I127" s="122">
        <v>3263.0</v>
      </c>
    </row>
    <row r="128">
      <c r="B128" s="120" t="s">
        <v>392</v>
      </c>
      <c r="C128" s="47"/>
      <c r="D128" s="60" t="s">
        <v>187</v>
      </c>
      <c r="E128" s="121">
        <v>2454.0</v>
      </c>
      <c r="F128" s="121">
        <v>2513.0</v>
      </c>
      <c r="G128" s="121">
        <v>2402.0</v>
      </c>
      <c r="H128" s="121">
        <v>2762.0</v>
      </c>
      <c r="I128" s="121">
        <v>2767.0</v>
      </c>
    </row>
    <row r="129">
      <c r="B129" s="120" t="s">
        <v>398</v>
      </c>
      <c r="C129" s="47"/>
      <c r="D129" s="60" t="s">
        <v>200</v>
      </c>
      <c r="E129" s="121">
        <v>3581.0</v>
      </c>
      <c r="F129" s="122">
        <v>3555.0</v>
      </c>
      <c r="G129" s="122">
        <v>3528.0</v>
      </c>
      <c r="H129" s="122">
        <v>3553.0</v>
      </c>
      <c r="I129" s="122">
        <v>3571.0</v>
      </c>
    </row>
    <row r="130">
      <c r="B130" s="120" t="s">
        <v>392</v>
      </c>
      <c r="C130" s="47"/>
      <c r="D130" s="20" t="s">
        <v>290</v>
      </c>
      <c r="E130" s="121">
        <v>4412.0</v>
      </c>
      <c r="F130" s="121">
        <v>4294.0</v>
      </c>
      <c r="G130" s="121">
        <v>4239.0</v>
      </c>
      <c r="H130" s="121">
        <v>4446.0</v>
      </c>
      <c r="I130" s="121">
        <v>4453.0</v>
      </c>
    </row>
    <row r="131">
      <c r="B131" s="120" t="s">
        <v>392</v>
      </c>
      <c r="C131" s="47"/>
      <c r="D131" s="60" t="s">
        <v>324</v>
      </c>
      <c r="E131" s="121">
        <v>4541.0</v>
      </c>
      <c r="F131" s="121">
        <v>4860.0</v>
      </c>
      <c r="G131" s="121">
        <v>4452.0</v>
      </c>
      <c r="H131" s="121">
        <v>5143.0</v>
      </c>
      <c r="I131" s="121">
        <v>5202.0</v>
      </c>
    </row>
    <row r="132">
      <c r="B132" s="120" t="s">
        <v>392</v>
      </c>
      <c r="C132" s="47"/>
      <c r="D132" s="20" t="s">
        <v>293</v>
      </c>
      <c r="E132" s="121">
        <v>4004.0</v>
      </c>
      <c r="F132" s="122">
        <v>4046.0</v>
      </c>
      <c r="G132" s="121">
        <v>3603.0</v>
      </c>
      <c r="H132" s="121">
        <v>3948.0</v>
      </c>
      <c r="I132" s="121">
        <v>3942.0</v>
      </c>
    </row>
    <row r="133">
      <c r="B133" s="120" t="s">
        <v>392</v>
      </c>
      <c r="C133" s="47"/>
      <c r="D133" s="60" t="s">
        <v>272</v>
      </c>
      <c r="E133" s="121">
        <v>4169.0</v>
      </c>
      <c r="F133" s="121">
        <v>3978.0</v>
      </c>
      <c r="G133" s="121">
        <v>3824.0</v>
      </c>
      <c r="H133" s="121">
        <v>4168.0</v>
      </c>
      <c r="I133" s="121">
        <v>4250.0</v>
      </c>
    </row>
    <row r="134">
      <c r="B134" s="120" t="s">
        <v>392</v>
      </c>
      <c r="C134" s="47"/>
      <c r="D134" s="60" t="s">
        <v>184</v>
      </c>
      <c r="E134" s="121">
        <v>5764.0</v>
      </c>
      <c r="F134" s="121">
        <v>5665.0</v>
      </c>
      <c r="G134" s="121">
        <v>5434.0</v>
      </c>
      <c r="H134" s="121">
        <v>5786.0</v>
      </c>
      <c r="I134" s="121">
        <v>5864.0</v>
      </c>
    </row>
    <row r="135">
      <c r="B135" s="120" t="s">
        <v>392</v>
      </c>
      <c r="C135" s="47"/>
      <c r="D135" s="20" t="s">
        <v>43</v>
      </c>
      <c r="E135" s="121">
        <v>4803.0</v>
      </c>
      <c r="F135" s="122">
        <v>4319.0</v>
      </c>
      <c r="G135" s="122">
        <v>4238.0</v>
      </c>
      <c r="H135" s="122">
        <v>5354.0</v>
      </c>
      <c r="I135" s="122">
        <v>5560.0</v>
      </c>
    </row>
    <row r="136">
      <c r="B136" s="120" t="s">
        <v>392</v>
      </c>
      <c r="C136" s="47"/>
      <c r="D136" s="60" t="s">
        <v>263</v>
      </c>
      <c r="E136" s="121">
        <v>3273.0</v>
      </c>
      <c r="F136" s="121">
        <v>3111.0</v>
      </c>
      <c r="G136" s="121">
        <v>2961.0</v>
      </c>
      <c r="H136" s="121">
        <v>3173.0</v>
      </c>
      <c r="I136" s="121">
        <v>3193.0</v>
      </c>
    </row>
    <row r="137">
      <c r="B137" s="120" t="s">
        <v>392</v>
      </c>
      <c r="C137" s="47"/>
      <c r="D137" s="20" t="s">
        <v>265</v>
      </c>
      <c r="E137" s="121">
        <v>8952.0</v>
      </c>
      <c r="F137" s="121">
        <v>7266.0</v>
      </c>
      <c r="G137" s="121">
        <v>7681.0</v>
      </c>
      <c r="H137" s="121">
        <v>10237.0</v>
      </c>
      <c r="I137" s="121">
        <v>12208.0</v>
      </c>
    </row>
    <row r="138">
      <c r="B138" s="120" t="s">
        <v>392</v>
      </c>
      <c r="C138" s="47"/>
      <c r="D138" s="60" t="s">
        <v>58</v>
      </c>
      <c r="E138" s="122">
        <v>3175.0</v>
      </c>
      <c r="F138" s="122">
        <v>3813.0</v>
      </c>
      <c r="G138" s="122">
        <v>3036.0</v>
      </c>
      <c r="H138" s="122">
        <v>3183.0</v>
      </c>
      <c r="I138" s="122">
        <v>3177.0</v>
      </c>
    </row>
    <row r="139">
      <c r="B139" s="120" t="s">
        <v>392</v>
      </c>
      <c r="C139" s="47"/>
      <c r="D139" s="60" t="s">
        <v>276</v>
      </c>
      <c r="E139" s="121">
        <v>6385.0</v>
      </c>
      <c r="F139" s="121">
        <v>7242.0</v>
      </c>
      <c r="G139" s="121">
        <v>6234.0</v>
      </c>
      <c r="H139" s="121">
        <v>7408.0</v>
      </c>
      <c r="I139" s="121">
        <v>7452.0</v>
      </c>
    </row>
    <row r="140">
      <c r="B140" s="120" t="s">
        <v>392</v>
      </c>
      <c r="C140" s="47"/>
      <c r="D140" s="60" t="s">
        <v>354</v>
      </c>
      <c r="E140" s="121">
        <v>4217.0</v>
      </c>
      <c r="F140" s="122">
        <v>4293.0</v>
      </c>
      <c r="G140" s="121">
        <v>4279.0</v>
      </c>
      <c r="H140" s="121">
        <v>4396.0</v>
      </c>
      <c r="I140" s="121">
        <v>4399.0</v>
      </c>
    </row>
    <row r="141">
      <c r="B141" s="120" t="s">
        <v>398</v>
      </c>
      <c r="C141" s="47"/>
      <c r="D141" s="60" t="s">
        <v>329</v>
      </c>
      <c r="E141" s="121">
        <v>4557.0</v>
      </c>
      <c r="F141" s="121">
        <v>4953.0</v>
      </c>
      <c r="G141" s="121">
        <v>4392.0</v>
      </c>
      <c r="H141" s="121">
        <v>4800.0</v>
      </c>
      <c r="I141" s="121">
        <v>4815.0</v>
      </c>
    </row>
    <row r="142">
      <c r="B142" s="120" t="s">
        <v>392</v>
      </c>
      <c r="C142" s="50"/>
      <c r="D142" s="20" t="s">
        <v>278</v>
      </c>
      <c r="E142" s="121">
        <v>51369.0</v>
      </c>
      <c r="F142" s="122">
        <v>30510.0</v>
      </c>
      <c r="G142" s="122">
        <v>31880.0</v>
      </c>
      <c r="H142" s="122">
        <v>51237.0</v>
      </c>
      <c r="I142" s="122">
        <v>51373.0</v>
      </c>
    </row>
    <row r="143">
      <c r="B143" s="133"/>
      <c r="C143" s="134"/>
      <c r="D143" s="91"/>
      <c r="E143" s="91"/>
      <c r="F143" s="134"/>
      <c r="G143" s="91"/>
      <c r="H143" s="134"/>
      <c r="I143" s="91"/>
    </row>
    <row r="144">
      <c r="B144" s="120" t="s">
        <v>392</v>
      </c>
      <c r="C144" s="69" t="s">
        <v>399</v>
      </c>
      <c r="D144" s="20" t="s">
        <v>363</v>
      </c>
      <c r="E144" s="121">
        <v>3816.0</v>
      </c>
      <c r="F144" s="121">
        <v>5337.0</v>
      </c>
      <c r="G144" s="121">
        <v>3238.0</v>
      </c>
      <c r="H144" s="121">
        <v>4641.0</v>
      </c>
      <c r="I144" s="121">
        <v>5432.0</v>
      </c>
    </row>
    <row r="145">
      <c r="B145" s="120" t="s">
        <v>392</v>
      </c>
      <c r="C145" s="137"/>
      <c r="D145" s="66" t="s">
        <v>246</v>
      </c>
      <c r="E145" s="121">
        <v>17949.0</v>
      </c>
      <c r="F145" s="121">
        <v>17968.0</v>
      </c>
      <c r="G145" s="121">
        <v>17576.0</v>
      </c>
      <c r="H145" s="121">
        <v>20912.0</v>
      </c>
      <c r="I145" s="121">
        <v>21065.0</v>
      </c>
    </row>
    <row r="146">
      <c r="B146" s="120" t="s">
        <v>392</v>
      </c>
      <c r="C146" s="47"/>
      <c r="D146" s="66" t="s">
        <v>98</v>
      </c>
      <c r="E146" s="121">
        <v>7387.0</v>
      </c>
      <c r="F146" s="122">
        <v>7192.0</v>
      </c>
      <c r="G146" s="122">
        <v>7043.0</v>
      </c>
      <c r="H146" s="122">
        <v>7505.0</v>
      </c>
      <c r="I146" s="122">
        <v>7512.0</v>
      </c>
    </row>
    <row r="147">
      <c r="B147" s="120" t="s">
        <v>392</v>
      </c>
      <c r="C147" s="47"/>
      <c r="D147" s="20" t="s">
        <v>249</v>
      </c>
      <c r="E147" s="122">
        <v>3096.0</v>
      </c>
      <c r="F147" s="121">
        <v>2948.0</v>
      </c>
      <c r="G147" s="121">
        <v>2992.0</v>
      </c>
      <c r="H147" s="121">
        <v>3097.0</v>
      </c>
      <c r="I147" s="121">
        <v>3107.0</v>
      </c>
    </row>
    <row r="148">
      <c r="B148" s="120" t="s">
        <v>392</v>
      </c>
      <c r="C148" s="47"/>
      <c r="D148" s="20" t="s">
        <v>287</v>
      </c>
      <c r="E148" s="121">
        <v>3861.0</v>
      </c>
      <c r="F148" s="121">
        <v>3718.0</v>
      </c>
      <c r="G148" s="121">
        <v>3781.0</v>
      </c>
      <c r="H148" s="121">
        <v>3898.0</v>
      </c>
      <c r="I148" s="121">
        <v>3927.0</v>
      </c>
    </row>
    <row r="149">
      <c r="B149" s="120" t="s">
        <v>392</v>
      </c>
      <c r="C149" s="50"/>
      <c r="D149" s="20" t="s">
        <v>247</v>
      </c>
      <c r="E149" s="121">
        <v>8057.0</v>
      </c>
      <c r="F149" s="121">
        <v>9047.0</v>
      </c>
      <c r="G149" s="121">
        <v>8270.0</v>
      </c>
      <c r="H149" s="121">
        <v>9196.0</v>
      </c>
      <c r="I149" s="121">
        <v>9223.0</v>
      </c>
    </row>
    <row r="150">
      <c r="B150" s="133"/>
      <c r="C150" s="134"/>
      <c r="D150" s="91"/>
      <c r="E150" s="91"/>
      <c r="F150" s="134"/>
      <c r="G150" s="91"/>
      <c r="H150" s="134"/>
      <c r="I150" s="91"/>
    </row>
    <row r="151">
      <c r="B151" s="120" t="s">
        <v>392</v>
      </c>
      <c r="C151" s="69" t="s">
        <v>400</v>
      </c>
      <c r="D151" s="57" t="s">
        <v>291</v>
      </c>
      <c r="E151" s="121">
        <v>4926.0</v>
      </c>
      <c r="F151" s="122">
        <v>4708.0</v>
      </c>
      <c r="G151" s="122">
        <v>4526.0</v>
      </c>
      <c r="H151" s="122">
        <v>5140.0</v>
      </c>
      <c r="I151" s="122">
        <v>5363.0</v>
      </c>
    </row>
    <row r="152">
      <c r="B152" s="120" t="s">
        <v>392</v>
      </c>
      <c r="C152" s="137"/>
      <c r="D152" s="57" t="s">
        <v>237</v>
      </c>
      <c r="E152" s="121">
        <v>6636.0</v>
      </c>
      <c r="F152" s="121">
        <v>6739.0</v>
      </c>
      <c r="G152" s="121">
        <v>6262.0</v>
      </c>
      <c r="H152" s="121">
        <v>6813.0</v>
      </c>
      <c r="I152" s="121">
        <v>6893.0</v>
      </c>
    </row>
    <row r="153">
      <c r="B153" s="120" t="s">
        <v>392</v>
      </c>
      <c r="C153" s="47"/>
      <c r="D153" s="57" t="s">
        <v>228</v>
      </c>
      <c r="E153" s="121">
        <v>6478.0</v>
      </c>
      <c r="F153" s="122">
        <v>6317.0</v>
      </c>
      <c r="G153" s="121">
        <v>6105.0</v>
      </c>
      <c r="H153" s="121">
        <v>6110.0</v>
      </c>
      <c r="I153" s="121">
        <v>6628.0</v>
      </c>
    </row>
    <row r="154">
      <c r="B154" s="120" t="s">
        <v>392</v>
      </c>
      <c r="C154" s="50"/>
      <c r="D154" s="57" t="s">
        <v>231</v>
      </c>
      <c r="E154" s="121">
        <v>6534.0</v>
      </c>
      <c r="F154" s="122">
        <v>6545.0</v>
      </c>
      <c r="G154" s="121">
        <v>6431.0</v>
      </c>
      <c r="H154" s="121">
        <v>6682.0</v>
      </c>
      <c r="I154" s="121">
        <v>6682.0</v>
      </c>
    </row>
    <row r="155">
      <c r="B155" s="133"/>
      <c r="C155" s="134"/>
      <c r="D155" s="91"/>
      <c r="E155" s="91"/>
      <c r="F155" s="134"/>
      <c r="G155" s="91"/>
      <c r="H155" s="134"/>
      <c r="I155" s="91"/>
    </row>
    <row r="156">
      <c r="B156" s="120" t="s">
        <v>398</v>
      </c>
      <c r="C156" s="69" t="s">
        <v>23</v>
      </c>
      <c r="D156" s="60" t="s">
        <v>215</v>
      </c>
      <c r="E156" s="121">
        <v>5103.0</v>
      </c>
      <c r="F156" s="121">
        <v>4064.0</v>
      </c>
      <c r="G156" s="121">
        <v>4078.0</v>
      </c>
      <c r="H156" s="121">
        <v>4596.0</v>
      </c>
      <c r="I156" s="121">
        <v>4729.0</v>
      </c>
    </row>
    <row r="157">
      <c r="B157" s="120" t="s">
        <v>398</v>
      </c>
      <c r="C157" s="137"/>
      <c r="D157" s="20" t="s">
        <v>119</v>
      </c>
      <c r="E157" s="121">
        <v>18977.0</v>
      </c>
      <c r="F157" s="121">
        <v>20748.0</v>
      </c>
      <c r="G157" s="121">
        <v>20183.0</v>
      </c>
      <c r="H157" s="121">
        <v>22715.0</v>
      </c>
      <c r="I157" s="121">
        <v>25327.0</v>
      </c>
    </row>
    <row r="158">
      <c r="B158" s="120" t="s">
        <v>398</v>
      </c>
      <c r="C158" s="47"/>
      <c r="D158" s="20" t="s">
        <v>353</v>
      </c>
      <c r="E158" s="121">
        <v>34828.0</v>
      </c>
      <c r="F158" s="121">
        <v>40436.0</v>
      </c>
      <c r="G158" s="122">
        <v>45361.0</v>
      </c>
      <c r="H158" s="122">
        <v>58723.0</v>
      </c>
      <c r="I158" s="122">
        <v>73126.0</v>
      </c>
    </row>
    <row r="159">
      <c r="B159" s="120" t="s">
        <v>398</v>
      </c>
      <c r="C159" s="47"/>
      <c r="D159" s="20" t="s">
        <v>116</v>
      </c>
      <c r="E159" s="121">
        <v>13291.0</v>
      </c>
      <c r="F159" s="122">
        <v>13087.0</v>
      </c>
      <c r="G159" s="122">
        <v>11931.0</v>
      </c>
      <c r="H159" s="122">
        <v>13531.0</v>
      </c>
      <c r="I159" s="122">
        <v>14574.0</v>
      </c>
    </row>
    <row r="160">
      <c r="B160" s="120" t="s">
        <v>398</v>
      </c>
      <c r="C160" s="47"/>
      <c r="D160" s="20" t="s">
        <v>343</v>
      </c>
      <c r="E160" s="121">
        <v>7434.0</v>
      </c>
      <c r="F160" s="122">
        <v>8061.0</v>
      </c>
      <c r="G160" s="122">
        <v>7375.0</v>
      </c>
      <c r="H160" s="122">
        <v>8141.0</v>
      </c>
      <c r="I160" s="122">
        <v>8269.0</v>
      </c>
    </row>
    <row r="161">
      <c r="B161" s="120" t="s">
        <v>398</v>
      </c>
      <c r="C161" s="47"/>
      <c r="D161" s="20" t="s">
        <v>210</v>
      </c>
      <c r="E161" s="121">
        <v>8713.0</v>
      </c>
      <c r="F161" s="122">
        <v>8624.0</v>
      </c>
      <c r="G161" s="122">
        <v>8236.0</v>
      </c>
      <c r="H161" s="122">
        <v>8996.0</v>
      </c>
      <c r="I161" s="122">
        <v>9196.0</v>
      </c>
    </row>
    <row r="162">
      <c r="B162" s="120" t="s">
        <v>398</v>
      </c>
      <c r="C162" s="47"/>
      <c r="D162" s="20" t="s">
        <v>216</v>
      </c>
      <c r="E162" s="121">
        <v>7699.0</v>
      </c>
      <c r="F162" s="121">
        <v>7385.0</v>
      </c>
      <c r="G162" s="121">
        <v>7157.0</v>
      </c>
      <c r="H162" s="121">
        <v>7952.0</v>
      </c>
      <c r="I162" s="121">
        <v>8071.0</v>
      </c>
    </row>
    <row r="163">
      <c r="B163" s="120" t="s">
        <v>398</v>
      </c>
      <c r="C163" s="47"/>
      <c r="D163" s="20" t="s">
        <v>312</v>
      </c>
      <c r="E163" s="121">
        <v>2984.0</v>
      </c>
      <c r="F163" s="121">
        <v>2995.0</v>
      </c>
      <c r="G163" s="121">
        <v>2908.0</v>
      </c>
      <c r="H163" s="121">
        <v>3008.0</v>
      </c>
      <c r="I163" s="121">
        <v>3009.0</v>
      </c>
    </row>
    <row r="164">
      <c r="B164" s="120" t="s">
        <v>398</v>
      </c>
      <c r="C164" s="47"/>
      <c r="D164" s="20" t="s">
        <v>117</v>
      </c>
      <c r="E164" s="121">
        <v>8878.0</v>
      </c>
      <c r="F164" s="121">
        <v>9448.0</v>
      </c>
      <c r="G164" s="121">
        <v>8511.0</v>
      </c>
      <c r="H164" s="121">
        <v>9451.0</v>
      </c>
      <c r="I164" s="121">
        <v>9516.0</v>
      </c>
    </row>
    <row r="165">
      <c r="B165" s="120" t="s">
        <v>398</v>
      </c>
      <c r="C165" s="47"/>
      <c r="D165" s="20" t="s">
        <v>122</v>
      </c>
      <c r="E165" s="121">
        <v>26461.0</v>
      </c>
      <c r="F165" s="121">
        <v>25653.0</v>
      </c>
      <c r="G165" s="121">
        <v>25206.0</v>
      </c>
      <c r="H165" s="121">
        <v>25878.0</v>
      </c>
      <c r="I165" s="121">
        <v>27871.0</v>
      </c>
    </row>
    <row r="166">
      <c r="B166" s="120" t="s">
        <v>398</v>
      </c>
      <c r="C166" s="47"/>
      <c r="D166" s="20" t="s">
        <v>218</v>
      </c>
      <c r="E166" s="121">
        <v>5281.0</v>
      </c>
      <c r="F166" s="121">
        <v>5583.0</v>
      </c>
      <c r="G166" s="121">
        <v>4815.0</v>
      </c>
      <c r="H166" s="121">
        <v>5508.0</v>
      </c>
      <c r="I166" s="121">
        <v>6220.0</v>
      </c>
    </row>
    <row r="167">
      <c r="B167" s="120" t="s">
        <v>398</v>
      </c>
      <c r="C167" s="47"/>
      <c r="D167" s="20" t="s">
        <v>320</v>
      </c>
      <c r="E167" s="121">
        <v>4459.0</v>
      </c>
      <c r="F167" s="121">
        <v>4379.0</v>
      </c>
      <c r="G167" s="121">
        <v>4431.0</v>
      </c>
      <c r="H167" s="121">
        <v>4507.0</v>
      </c>
      <c r="I167" s="121">
        <v>4514.0</v>
      </c>
    </row>
    <row r="168">
      <c r="B168" s="120" t="s">
        <v>398</v>
      </c>
      <c r="C168" s="47"/>
      <c r="D168" s="60" t="s">
        <v>253</v>
      </c>
      <c r="E168" s="121">
        <v>7027.0</v>
      </c>
      <c r="F168" s="122">
        <v>6232.0</v>
      </c>
      <c r="G168" s="121">
        <v>6331.0</v>
      </c>
      <c r="H168" s="121">
        <v>6977.0</v>
      </c>
      <c r="I168" s="121">
        <v>9040.0</v>
      </c>
    </row>
    <row r="169">
      <c r="B169" s="120" t="s">
        <v>398</v>
      </c>
      <c r="C169" s="47"/>
      <c r="D169" s="20" t="s">
        <v>217</v>
      </c>
      <c r="E169" s="121">
        <v>12419.0</v>
      </c>
      <c r="F169" s="121">
        <v>12940.0</v>
      </c>
      <c r="G169" s="121">
        <v>10987.0</v>
      </c>
      <c r="H169" s="121">
        <v>13304.0</v>
      </c>
      <c r="I169" s="121">
        <v>14770.0</v>
      </c>
    </row>
    <row r="170">
      <c r="B170" s="120" t="s">
        <v>398</v>
      </c>
      <c r="C170" s="47"/>
      <c r="D170" s="60" t="s">
        <v>211</v>
      </c>
      <c r="E170" s="121">
        <v>4666.0</v>
      </c>
      <c r="F170" s="121">
        <v>4722.0</v>
      </c>
      <c r="G170" s="121">
        <v>4231.0</v>
      </c>
      <c r="H170" s="121">
        <v>5419.0</v>
      </c>
      <c r="I170" s="121">
        <v>5441.0</v>
      </c>
    </row>
    <row r="171">
      <c r="B171" s="120" t="s">
        <v>398</v>
      </c>
      <c r="C171" s="47"/>
      <c r="D171" s="20" t="s">
        <v>213</v>
      </c>
      <c r="E171" s="121">
        <v>5072.0</v>
      </c>
      <c r="F171" s="138">
        <v>5086.0</v>
      </c>
      <c r="G171" s="121">
        <v>4845.0</v>
      </c>
      <c r="H171" s="121">
        <v>5136.0</v>
      </c>
      <c r="I171" s="121">
        <v>5157.0</v>
      </c>
    </row>
    <row r="172">
      <c r="B172" s="120" t="s">
        <v>398</v>
      </c>
      <c r="C172" s="47"/>
      <c r="D172" s="20" t="s">
        <v>123</v>
      </c>
      <c r="E172" s="121">
        <v>13114.0</v>
      </c>
      <c r="F172" s="121">
        <v>14274.0</v>
      </c>
      <c r="G172" s="121">
        <v>12277.0</v>
      </c>
      <c r="H172" s="121">
        <v>14261.0</v>
      </c>
      <c r="I172" s="121">
        <v>15042.0</v>
      </c>
    </row>
    <row r="173">
      <c r="B173" s="120" t="s">
        <v>398</v>
      </c>
      <c r="C173" s="47"/>
      <c r="D173" s="20" t="s">
        <v>125</v>
      </c>
      <c r="E173" s="121">
        <v>23157.0</v>
      </c>
      <c r="F173" s="121">
        <v>38317.0</v>
      </c>
      <c r="G173" s="121">
        <v>31573.0</v>
      </c>
      <c r="H173" s="121">
        <v>37990.0</v>
      </c>
      <c r="I173" s="121">
        <v>42119.0</v>
      </c>
    </row>
    <row r="174">
      <c r="B174" s="120" t="s">
        <v>398</v>
      </c>
      <c r="C174" s="50"/>
      <c r="D174" s="20" t="s">
        <v>294</v>
      </c>
      <c r="E174" s="138">
        <v>6390.0</v>
      </c>
      <c r="F174" s="121">
        <v>6554.0</v>
      </c>
      <c r="G174" s="121">
        <v>5784.0</v>
      </c>
      <c r="H174" s="121">
        <v>7055.0</v>
      </c>
      <c r="I174" s="121">
        <v>7136.0</v>
      </c>
    </row>
    <row r="175">
      <c r="B175" s="133"/>
      <c r="C175" s="134"/>
      <c r="D175" s="91"/>
      <c r="E175" s="91"/>
      <c r="F175" s="134"/>
      <c r="G175" s="91"/>
      <c r="H175" s="134"/>
      <c r="I175" s="91"/>
    </row>
    <row r="176">
      <c r="B176" s="120" t="s">
        <v>398</v>
      </c>
      <c r="C176" s="69" t="s">
        <v>401</v>
      </c>
      <c r="D176" s="57" t="s">
        <v>104</v>
      </c>
      <c r="E176" s="121">
        <v>2990.0</v>
      </c>
      <c r="F176" s="122">
        <v>2740.0</v>
      </c>
      <c r="G176" s="122">
        <v>2545.0</v>
      </c>
      <c r="H176" s="122">
        <v>3062.0</v>
      </c>
      <c r="I176" s="122">
        <v>3773.0</v>
      </c>
    </row>
    <row r="177">
      <c r="B177" s="120" t="s">
        <v>398</v>
      </c>
      <c r="C177" s="139"/>
      <c r="D177" s="57" t="s">
        <v>232</v>
      </c>
      <c r="E177" s="121">
        <v>3503.0</v>
      </c>
      <c r="F177" s="121">
        <v>3480.0</v>
      </c>
      <c r="G177" s="122">
        <v>3412.0</v>
      </c>
      <c r="H177" s="122">
        <v>3522.0</v>
      </c>
      <c r="I177" s="122">
        <v>3551.0</v>
      </c>
    </row>
    <row r="178">
      <c r="B178" s="133"/>
      <c r="C178" s="134"/>
      <c r="D178" s="91"/>
      <c r="E178" s="91"/>
      <c r="F178" s="134"/>
      <c r="G178" s="91"/>
      <c r="H178" s="134"/>
      <c r="I178" s="91"/>
    </row>
    <row r="179">
      <c r="B179" s="120" t="s">
        <v>394</v>
      </c>
      <c r="C179" s="69" t="s">
        <v>63</v>
      </c>
      <c r="D179" s="57" t="s">
        <v>59</v>
      </c>
      <c r="E179" s="121">
        <v>22508.0</v>
      </c>
      <c r="F179" s="121">
        <v>24082.0</v>
      </c>
      <c r="G179" s="121">
        <v>20914.0</v>
      </c>
      <c r="H179" s="121">
        <v>26380.0</v>
      </c>
      <c r="I179" s="121">
        <v>29687.0</v>
      </c>
    </row>
    <row r="180">
      <c r="B180" s="120" t="s">
        <v>394</v>
      </c>
      <c r="C180" s="137"/>
      <c r="D180" s="57" t="s">
        <v>66</v>
      </c>
      <c r="E180" s="121">
        <v>20358.0</v>
      </c>
      <c r="F180" s="121">
        <v>27179.0</v>
      </c>
      <c r="G180" s="121">
        <v>30407.0</v>
      </c>
      <c r="H180" s="121">
        <v>37299.0</v>
      </c>
      <c r="I180" s="121">
        <v>52091.0</v>
      </c>
    </row>
    <row r="181">
      <c r="B181" s="120" t="s">
        <v>394</v>
      </c>
      <c r="C181" s="50"/>
      <c r="D181" s="57" t="s">
        <v>57</v>
      </c>
      <c r="E181" s="121">
        <v>29530.0</v>
      </c>
      <c r="F181" s="121">
        <v>42097.0</v>
      </c>
      <c r="G181" s="121">
        <v>41379.0</v>
      </c>
      <c r="H181" s="121">
        <v>53610.0</v>
      </c>
      <c r="I181" s="121">
        <v>64311.0</v>
      </c>
    </row>
    <row r="182">
      <c r="B182" s="133"/>
      <c r="C182" s="134"/>
      <c r="D182" s="91"/>
      <c r="E182" s="91"/>
      <c r="F182" s="134"/>
      <c r="G182" s="91"/>
      <c r="H182" s="134"/>
      <c r="I182" s="91"/>
    </row>
    <row r="183">
      <c r="B183" s="120" t="s">
        <v>394</v>
      </c>
      <c r="C183" s="69" t="s">
        <v>49</v>
      </c>
      <c r="D183" s="57" t="s">
        <v>347</v>
      </c>
      <c r="E183" s="121">
        <v>22703.0</v>
      </c>
      <c r="F183" s="121">
        <v>27166.0</v>
      </c>
      <c r="G183" s="121">
        <v>24757.0</v>
      </c>
      <c r="H183" s="121">
        <v>30976.0</v>
      </c>
      <c r="I183" s="121">
        <v>43599.0</v>
      </c>
    </row>
    <row r="184">
      <c r="B184" s="133"/>
      <c r="C184" s="134"/>
      <c r="D184" s="91"/>
      <c r="E184" s="91"/>
      <c r="F184" s="134"/>
      <c r="G184" s="91"/>
      <c r="H184" s="134"/>
      <c r="I184" s="91"/>
    </row>
    <row r="185">
      <c r="B185" s="120" t="s">
        <v>394</v>
      </c>
      <c r="C185" s="69" t="s">
        <v>68</v>
      </c>
      <c r="D185" s="57" t="s">
        <v>72</v>
      </c>
      <c r="E185" s="122">
        <v>56922.0</v>
      </c>
      <c r="F185" s="122">
        <v>73498.0</v>
      </c>
      <c r="G185" s="122">
        <v>65641.0</v>
      </c>
      <c r="H185" s="122">
        <v>83724.0</v>
      </c>
      <c r="I185" s="122">
        <v>95457.0</v>
      </c>
    </row>
    <row r="186">
      <c r="B186" s="120" t="s">
        <v>394</v>
      </c>
      <c r="C186" s="137"/>
      <c r="D186" s="57" t="s">
        <v>299</v>
      </c>
      <c r="E186" s="121">
        <v>37801.0</v>
      </c>
      <c r="F186" s="121">
        <v>43831.0</v>
      </c>
      <c r="G186" s="121">
        <v>38441.0</v>
      </c>
      <c r="H186" s="121">
        <v>45577.0</v>
      </c>
      <c r="I186" s="121">
        <v>50728.0</v>
      </c>
    </row>
    <row r="187">
      <c r="B187" s="120" t="s">
        <v>394</v>
      </c>
      <c r="C187" s="47"/>
      <c r="D187" s="57" t="s">
        <v>52</v>
      </c>
      <c r="E187" s="121">
        <v>16404.0</v>
      </c>
      <c r="F187" s="121">
        <v>12832.0</v>
      </c>
      <c r="G187" s="121">
        <v>12498.0</v>
      </c>
      <c r="H187" s="121">
        <v>18332.0</v>
      </c>
      <c r="I187" s="121">
        <v>26971.0</v>
      </c>
    </row>
    <row r="188">
      <c r="B188" s="120" t="s">
        <v>394</v>
      </c>
      <c r="C188" s="47"/>
      <c r="D188" s="57" t="s">
        <v>289</v>
      </c>
      <c r="E188" s="121">
        <v>6641.0</v>
      </c>
      <c r="F188" s="122">
        <v>6012.0</v>
      </c>
      <c r="G188" s="121">
        <v>5732.0</v>
      </c>
      <c r="H188" s="121">
        <v>6677.0</v>
      </c>
      <c r="I188" s="121">
        <v>7327.0</v>
      </c>
    </row>
    <row r="189">
      <c r="B189" s="120" t="s">
        <v>394</v>
      </c>
      <c r="C189" s="47"/>
      <c r="D189" s="57" t="s">
        <v>70</v>
      </c>
      <c r="E189" s="121">
        <v>9742.0</v>
      </c>
      <c r="F189" s="121">
        <v>10939.0</v>
      </c>
      <c r="G189" s="121">
        <v>10443.0</v>
      </c>
      <c r="H189" s="121">
        <v>11617.0</v>
      </c>
      <c r="I189" s="121">
        <v>13301.0</v>
      </c>
    </row>
    <row r="190">
      <c r="B190" s="120" t="s">
        <v>394</v>
      </c>
      <c r="C190" s="50"/>
      <c r="D190" s="57" t="s">
        <v>68</v>
      </c>
      <c r="E190" s="121">
        <v>21485.0</v>
      </c>
      <c r="F190" s="122">
        <v>24482.0</v>
      </c>
      <c r="G190" s="122">
        <v>41346.0</v>
      </c>
      <c r="H190" s="122">
        <v>50207.0</v>
      </c>
      <c r="I190" s="122">
        <v>105976.0</v>
      </c>
    </row>
    <row r="191">
      <c r="B191" s="133"/>
      <c r="C191" s="134"/>
      <c r="D191" s="91"/>
      <c r="E191" s="91"/>
      <c r="F191" s="134"/>
      <c r="G191" s="91"/>
      <c r="H191" s="134"/>
      <c r="I191" s="91"/>
    </row>
    <row r="192">
      <c r="B192" s="120" t="s">
        <v>398</v>
      </c>
      <c r="C192" s="69" t="s">
        <v>22</v>
      </c>
      <c r="D192" s="57" t="s">
        <v>318</v>
      </c>
      <c r="E192" s="121">
        <v>28365.0</v>
      </c>
      <c r="F192" s="122">
        <v>29570.0</v>
      </c>
      <c r="G192" s="121">
        <v>45712.0</v>
      </c>
      <c r="H192" s="121">
        <v>95090.0</v>
      </c>
      <c r="I192" s="121">
        <v>142664.0</v>
      </c>
    </row>
    <row r="193">
      <c r="B193" s="120" t="s">
        <v>398</v>
      </c>
      <c r="C193" s="137"/>
      <c r="D193" s="57" t="s">
        <v>314</v>
      </c>
      <c r="E193" s="121">
        <v>27221.0</v>
      </c>
      <c r="F193" s="121">
        <v>23390.0</v>
      </c>
      <c r="G193" s="121">
        <v>29451.0</v>
      </c>
      <c r="H193" s="121">
        <v>35811.0</v>
      </c>
      <c r="I193" s="121">
        <v>36731.0</v>
      </c>
    </row>
    <row r="194">
      <c r="B194" s="120" t="s">
        <v>398</v>
      </c>
      <c r="C194" s="47"/>
      <c r="D194" s="57" t="s">
        <v>22</v>
      </c>
      <c r="E194" s="121">
        <v>11248.0</v>
      </c>
      <c r="F194" s="122">
        <v>11407.0</v>
      </c>
      <c r="G194" s="122">
        <v>16988.0</v>
      </c>
      <c r="H194" s="122">
        <v>22198.0</v>
      </c>
      <c r="I194" s="122">
        <v>22883.0</v>
      </c>
    </row>
    <row r="195">
      <c r="B195" s="120" t="s">
        <v>398</v>
      </c>
      <c r="C195" s="47"/>
      <c r="D195" s="57" t="s">
        <v>333</v>
      </c>
      <c r="E195" s="138">
        <v>6724.0</v>
      </c>
      <c r="F195" s="121">
        <v>6368.0</v>
      </c>
      <c r="G195" s="121">
        <v>6007.0</v>
      </c>
      <c r="H195" s="121">
        <v>8557.0</v>
      </c>
      <c r="I195" s="121">
        <v>8613.0</v>
      </c>
    </row>
    <row r="196">
      <c r="B196" s="120" t="s">
        <v>398</v>
      </c>
      <c r="C196" s="47"/>
      <c r="D196" s="57" t="s">
        <v>26</v>
      </c>
      <c r="E196" s="121">
        <v>29413.0</v>
      </c>
      <c r="F196" s="122">
        <v>31112.0</v>
      </c>
      <c r="G196" s="122">
        <v>32787.0</v>
      </c>
      <c r="H196" s="122">
        <v>43965.0</v>
      </c>
      <c r="I196" s="122">
        <v>47934.0</v>
      </c>
    </row>
    <row r="197">
      <c r="B197" s="120" t="s">
        <v>398</v>
      </c>
      <c r="C197" s="50"/>
      <c r="D197" s="57" t="s">
        <v>110</v>
      </c>
      <c r="E197" s="121">
        <v>17943.0</v>
      </c>
      <c r="F197" s="121">
        <v>17055.0</v>
      </c>
      <c r="G197" s="121">
        <v>27563.0</v>
      </c>
      <c r="H197" s="121">
        <v>35019.0</v>
      </c>
      <c r="I197" s="121">
        <v>37057.0</v>
      </c>
    </row>
    <row r="198">
      <c r="B198" s="133"/>
      <c r="C198" s="134"/>
      <c r="D198" s="91"/>
      <c r="E198" s="91"/>
      <c r="F198" s="134"/>
      <c r="G198" s="91"/>
      <c r="H198" s="134"/>
      <c r="I198" s="91"/>
    </row>
    <row r="199">
      <c r="B199" s="120" t="s">
        <v>398</v>
      </c>
      <c r="C199" s="69" t="s">
        <v>128</v>
      </c>
      <c r="D199" s="60" t="s">
        <v>126</v>
      </c>
      <c r="E199" s="121">
        <v>15522.0</v>
      </c>
      <c r="F199" s="121">
        <v>17730.0</v>
      </c>
      <c r="G199" s="121">
        <v>21496.0</v>
      </c>
      <c r="H199" s="121">
        <v>29125.0</v>
      </c>
      <c r="I199" s="121">
        <v>43448.0</v>
      </c>
    </row>
    <row r="200">
      <c r="B200" s="120" t="s">
        <v>398</v>
      </c>
      <c r="C200" s="137"/>
      <c r="D200" s="60" t="s">
        <v>220</v>
      </c>
      <c r="E200" s="121">
        <v>3544.0</v>
      </c>
      <c r="F200" s="121">
        <v>3646.0</v>
      </c>
      <c r="G200" s="121">
        <v>3314.0</v>
      </c>
      <c r="H200" s="121">
        <v>3583.0</v>
      </c>
      <c r="I200" s="121">
        <v>3600.0</v>
      </c>
    </row>
    <row r="201">
      <c r="B201" s="120" t="s">
        <v>398</v>
      </c>
      <c r="C201" s="47"/>
      <c r="D201" s="60" t="s">
        <v>328</v>
      </c>
      <c r="E201" s="121">
        <v>4739.0</v>
      </c>
      <c r="F201" s="121">
        <v>4652.0</v>
      </c>
      <c r="G201" s="121">
        <v>4619.0</v>
      </c>
      <c r="H201" s="121">
        <v>4646.0</v>
      </c>
      <c r="I201" s="121">
        <v>4741.0</v>
      </c>
    </row>
    <row r="202">
      <c r="B202" s="120" t="s">
        <v>398</v>
      </c>
      <c r="C202" s="47"/>
      <c r="D202" s="60" t="s">
        <v>199</v>
      </c>
      <c r="E202" s="121">
        <v>7519.0</v>
      </c>
      <c r="F202" s="122">
        <v>7583.0</v>
      </c>
      <c r="G202" s="121">
        <v>7248.0</v>
      </c>
      <c r="H202" s="121">
        <v>7427.0</v>
      </c>
      <c r="I202" s="121">
        <v>7613.0</v>
      </c>
    </row>
    <row r="203">
      <c r="B203" s="120" t="s">
        <v>398</v>
      </c>
      <c r="C203" s="47"/>
      <c r="D203" s="60" t="s">
        <v>127</v>
      </c>
      <c r="E203" s="121">
        <v>16448.0</v>
      </c>
      <c r="F203" s="121">
        <v>22880.0</v>
      </c>
      <c r="G203" s="121">
        <v>20860.0</v>
      </c>
      <c r="H203" s="121">
        <v>27586.0</v>
      </c>
      <c r="I203" s="121">
        <v>30791.0</v>
      </c>
    </row>
    <row r="204">
      <c r="B204" s="120" t="s">
        <v>398</v>
      </c>
      <c r="C204" s="47"/>
      <c r="D204" s="20" t="s">
        <v>203</v>
      </c>
      <c r="E204" s="121">
        <v>5767.0</v>
      </c>
      <c r="F204" s="121">
        <v>5760.0</v>
      </c>
      <c r="G204" s="121">
        <v>5588.0</v>
      </c>
      <c r="H204" s="121">
        <v>5849.0</v>
      </c>
      <c r="I204" s="121">
        <v>5953.0</v>
      </c>
    </row>
    <row r="205">
      <c r="B205" s="120" t="s">
        <v>398</v>
      </c>
      <c r="C205" s="47"/>
      <c r="D205" s="60" t="s">
        <v>283</v>
      </c>
      <c r="E205" s="121">
        <v>7118.0</v>
      </c>
      <c r="F205" s="122">
        <v>7286.0</v>
      </c>
      <c r="G205" s="122">
        <v>6513.0</v>
      </c>
      <c r="H205" s="122">
        <v>7292.0</v>
      </c>
      <c r="I205" s="122">
        <v>7512.0</v>
      </c>
    </row>
    <row r="206">
      <c r="B206" s="120" t="s">
        <v>398</v>
      </c>
      <c r="C206" s="47"/>
      <c r="D206" s="60" t="s">
        <v>120</v>
      </c>
      <c r="E206" s="121">
        <v>4553.0</v>
      </c>
      <c r="F206" s="121">
        <v>4501.0</v>
      </c>
      <c r="G206" s="121">
        <v>4490.0</v>
      </c>
      <c r="H206" s="121">
        <v>4640.0</v>
      </c>
      <c r="I206" s="121">
        <v>4702.0</v>
      </c>
    </row>
    <row r="207">
      <c r="B207" s="120" t="s">
        <v>398</v>
      </c>
      <c r="C207" s="47"/>
      <c r="D207" s="60" t="s">
        <v>207</v>
      </c>
      <c r="E207" s="121">
        <v>4443.0</v>
      </c>
      <c r="F207" s="121">
        <v>4615.0</v>
      </c>
      <c r="G207" s="121">
        <v>4112.0</v>
      </c>
      <c r="H207" s="121">
        <v>4505.0</v>
      </c>
      <c r="I207" s="121">
        <v>4626.0</v>
      </c>
    </row>
    <row r="208">
      <c r="B208" s="120" t="s">
        <v>398</v>
      </c>
      <c r="C208" s="47"/>
      <c r="D208" s="60" t="s">
        <v>285</v>
      </c>
      <c r="E208" s="138">
        <v>4891.0</v>
      </c>
      <c r="F208" s="122">
        <v>4866.0</v>
      </c>
      <c r="G208" s="121">
        <v>4786.0</v>
      </c>
      <c r="H208" s="121">
        <v>4796.0</v>
      </c>
      <c r="I208" s="121">
        <v>4905.0</v>
      </c>
    </row>
    <row r="209">
      <c r="B209" s="120" t="s">
        <v>398</v>
      </c>
      <c r="C209" s="47"/>
      <c r="D209" s="60" t="s">
        <v>130</v>
      </c>
      <c r="E209" s="121">
        <v>13506.0</v>
      </c>
      <c r="F209" s="121">
        <v>13663.0</v>
      </c>
      <c r="G209" s="121">
        <v>13227.0</v>
      </c>
      <c r="H209" s="121">
        <v>14257.0</v>
      </c>
      <c r="I209" s="121">
        <v>14953.0</v>
      </c>
    </row>
    <row r="210">
      <c r="B210" s="120" t="s">
        <v>398</v>
      </c>
      <c r="C210" s="47"/>
      <c r="D210" s="60" t="s">
        <v>204</v>
      </c>
      <c r="E210" s="121">
        <v>7695.0</v>
      </c>
      <c r="F210" s="121">
        <v>7728.0</v>
      </c>
      <c r="G210" s="121">
        <v>7127.0</v>
      </c>
      <c r="H210" s="121">
        <v>7341.0</v>
      </c>
      <c r="I210" s="121">
        <v>7813.0</v>
      </c>
    </row>
    <row r="211">
      <c r="B211" s="120" t="s">
        <v>398</v>
      </c>
      <c r="C211" s="47"/>
      <c r="D211" s="60" t="s">
        <v>202</v>
      </c>
      <c r="E211" s="121">
        <v>6915.0</v>
      </c>
      <c r="F211" s="121">
        <v>6614.0</v>
      </c>
      <c r="G211" s="121">
        <v>6755.0</v>
      </c>
      <c r="H211" s="121">
        <v>6952.0</v>
      </c>
      <c r="I211" s="121">
        <v>7260.0</v>
      </c>
    </row>
    <row r="212">
      <c r="B212" s="120" t="s">
        <v>398</v>
      </c>
      <c r="C212" s="47"/>
      <c r="D212" s="60" t="s">
        <v>121</v>
      </c>
      <c r="E212" s="121">
        <v>10585.0</v>
      </c>
      <c r="F212" s="121">
        <v>11070.0</v>
      </c>
      <c r="G212" s="121">
        <v>9570.0</v>
      </c>
      <c r="H212" s="121">
        <v>10965.0</v>
      </c>
      <c r="I212" s="121">
        <v>12860.0</v>
      </c>
    </row>
    <row r="213">
      <c r="B213" s="120" t="s">
        <v>398</v>
      </c>
      <c r="C213" s="47"/>
      <c r="D213" s="60" t="s">
        <v>224</v>
      </c>
      <c r="E213" s="121">
        <v>5528.0</v>
      </c>
      <c r="F213" s="121">
        <v>5712.0</v>
      </c>
      <c r="G213" s="121">
        <v>5270.0</v>
      </c>
      <c r="H213" s="121">
        <v>5695.0</v>
      </c>
      <c r="I213" s="121">
        <v>5798.0</v>
      </c>
    </row>
    <row r="214">
      <c r="B214" s="120" t="s">
        <v>398</v>
      </c>
      <c r="C214" s="47"/>
      <c r="D214" s="60" t="s">
        <v>225</v>
      </c>
      <c r="E214" s="121">
        <v>6448.0</v>
      </c>
      <c r="F214" s="121">
        <v>6900.0</v>
      </c>
      <c r="G214" s="121">
        <v>5771.0</v>
      </c>
      <c r="H214" s="121">
        <v>7241.0</v>
      </c>
      <c r="I214" s="121">
        <v>7457.0</v>
      </c>
    </row>
    <row r="215">
      <c r="B215" s="120" t="s">
        <v>398</v>
      </c>
      <c r="C215" s="47"/>
      <c r="D215" s="60" t="s">
        <v>128</v>
      </c>
      <c r="E215" s="121">
        <v>18128.0</v>
      </c>
      <c r="F215" s="122">
        <v>20107.0</v>
      </c>
      <c r="G215" s="121">
        <v>24958.0</v>
      </c>
      <c r="H215" s="121">
        <v>30527.0</v>
      </c>
      <c r="I215" s="121">
        <v>37623.0</v>
      </c>
    </row>
    <row r="216">
      <c r="B216" s="120" t="s">
        <v>398</v>
      </c>
      <c r="C216" s="47"/>
      <c r="D216" s="60" t="s">
        <v>131</v>
      </c>
      <c r="E216" s="121">
        <v>17332.0</v>
      </c>
      <c r="F216" s="122">
        <v>18869.0</v>
      </c>
      <c r="G216" s="121">
        <v>19404.0</v>
      </c>
      <c r="H216" s="121">
        <v>21441.0</v>
      </c>
      <c r="I216" s="121">
        <v>25356.0</v>
      </c>
    </row>
    <row r="217">
      <c r="B217" s="120" t="s">
        <v>398</v>
      </c>
      <c r="C217" s="47"/>
      <c r="D217" s="60" t="s">
        <v>281</v>
      </c>
      <c r="E217" s="121">
        <v>5286.0</v>
      </c>
      <c r="F217" s="121">
        <v>5156.0</v>
      </c>
      <c r="G217" s="121">
        <v>5028.0</v>
      </c>
      <c r="H217" s="121">
        <v>5186.0</v>
      </c>
      <c r="I217" s="121">
        <v>5344.0</v>
      </c>
    </row>
    <row r="218">
      <c r="B218" s="120" t="s">
        <v>398</v>
      </c>
      <c r="C218" s="50"/>
      <c r="D218" s="60" t="s">
        <v>129</v>
      </c>
      <c r="E218" s="121">
        <v>6715.0</v>
      </c>
      <c r="F218" s="121">
        <v>6730.0</v>
      </c>
      <c r="G218" s="121">
        <v>6355.0</v>
      </c>
      <c r="H218" s="121">
        <v>6814.0</v>
      </c>
      <c r="I218" s="121">
        <v>6940.0</v>
      </c>
    </row>
    <row r="219">
      <c r="B219" s="140"/>
      <c r="C219" s="141"/>
      <c r="D219" s="142"/>
      <c r="E219" s="143"/>
      <c r="F219" s="143"/>
      <c r="G219" s="143"/>
      <c r="H219" s="143"/>
      <c r="I219" s="143"/>
    </row>
    <row r="220">
      <c r="B220" s="144"/>
      <c r="C220" s="75" t="s">
        <v>367</v>
      </c>
      <c r="D220" s="17"/>
      <c r="E220" s="20">
        <v>16204.0</v>
      </c>
      <c r="F220" s="20">
        <v>17063.0</v>
      </c>
      <c r="G220" s="20">
        <v>38747.0</v>
      </c>
      <c r="H220" s="20">
        <v>35026.0</v>
      </c>
      <c r="I220" s="20">
        <v>63516.0</v>
      </c>
    </row>
    <row r="221">
      <c r="B221" s="144"/>
      <c r="C221" s="75" t="s">
        <v>369</v>
      </c>
      <c r="D221" s="17"/>
      <c r="E221" s="20">
        <v>62505.0</v>
      </c>
      <c r="F221" s="20">
        <v>69065.0</v>
      </c>
      <c r="G221" s="20">
        <v>88781.0</v>
      </c>
      <c r="H221" s="20">
        <v>84273.0</v>
      </c>
      <c r="I221" s="20">
        <v>109036.0</v>
      </c>
    </row>
    <row r="222">
      <c r="B222" s="144"/>
      <c r="C222" s="75" t="s">
        <v>344</v>
      </c>
      <c r="D222" s="17"/>
      <c r="E222" s="20">
        <v>79738.0</v>
      </c>
      <c r="F222" s="145">
        <v>78227.0</v>
      </c>
      <c r="G222" s="57">
        <v>73965.0</v>
      </c>
      <c r="H222" s="57">
        <v>89362.0</v>
      </c>
      <c r="I222" s="57">
        <v>88577.0</v>
      </c>
    </row>
    <row r="223">
      <c r="B223" s="144"/>
      <c r="C223" s="75" t="s">
        <v>352</v>
      </c>
      <c r="D223" s="17"/>
      <c r="E223" s="20">
        <v>93545.0</v>
      </c>
      <c r="F223" s="80">
        <v>105292.0</v>
      </c>
      <c r="G223" s="145">
        <v>92046.0</v>
      </c>
      <c r="H223" s="145">
        <v>130332.0</v>
      </c>
      <c r="I223" s="145">
        <v>154512.0</v>
      </c>
    </row>
    <row r="224">
      <c r="B224" s="144"/>
      <c r="C224" s="79" t="s">
        <v>351</v>
      </c>
      <c r="D224" s="17"/>
      <c r="E224" s="20">
        <v>79245.0</v>
      </c>
      <c r="F224" s="145">
        <v>85718.0</v>
      </c>
      <c r="G224" s="145">
        <v>84262.0</v>
      </c>
      <c r="H224" s="145">
        <v>110986.0</v>
      </c>
      <c r="I224" s="145">
        <v>139759.0</v>
      </c>
    </row>
    <row r="225">
      <c r="B225" s="144"/>
      <c r="C225" s="79" t="s">
        <v>345</v>
      </c>
      <c r="D225" s="17"/>
      <c r="E225" s="20">
        <v>44916.0</v>
      </c>
      <c r="F225" s="145">
        <v>69828.0</v>
      </c>
      <c r="G225" s="145">
        <v>83551.0</v>
      </c>
      <c r="H225" s="145">
        <v>103057.0</v>
      </c>
      <c r="I225" s="145">
        <v>155331.0</v>
      </c>
    </row>
    <row r="226">
      <c r="B226" s="144"/>
      <c r="C226" s="75" t="s">
        <v>355</v>
      </c>
      <c r="D226" s="17"/>
      <c r="E226" s="20">
        <v>48699.0</v>
      </c>
      <c r="F226" s="57">
        <v>57113.0</v>
      </c>
      <c r="G226" s="57">
        <v>81637.0</v>
      </c>
      <c r="H226" s="57">
        <v>124782.0</v>
      </c>
      <c r="I226" s="57">
        <v>141942.0</v>
      </c>
    </row>
    <row r="227">
      <c r="B227" s="144"/>
      <c r="C227" s="75" t="s">
        <v>350</v>
      </c>
      <c r="D227" s="17"/>
      <c r="E227" s="20">
        <v>30210.0</v>
      </c>
      <c r="F227" s="20">
        <v>23393.0</v>
      </c>
      <c r="G227" s="20">
        <v>40487.0</v>
      </c>
      <c r="H227" s="20">
        <v>95591.0</v>
      </c>
      <c r="I227" s="20">
        <v>123114.0</v>
      </c>
    </row>
    <row r="228">
      <c r="B228" s="144"/>
      <c r="C228" s="75" t="s">
        <v>339</v>
      </c>
      <c r="D228" s="17"/>
      <c r="E228" s="19">
        <v>18385.0</v>
      </c>
      <c r="F228" s="20">
        <v>12966.0</v>
      </c>
      <c r="G228" s="20">
        <v>27592.0</v>
      </c>
      <c r="H228" s="20">
        <v>50826.0</v>
      </c>
      <c r="I228" s="20">
        <v>65282.0</v>
      </c>
    </row>
    <row r="229">
      <c r="B229" s="144"/>
      <c r="C229" s="146" t="s">
        <v>336</v>
      </c>
      <c r="D229" s="17"/>
      <c r="E229" s="20">
        <v>33885.0</v>
      </c>
      <c r="F229" s="57">
        <v>26918.0</v>
      </c>
      <c r="G229" s="57">
        <v>55467.0</v>
      </c>
      <c r="H229" s="57">
        <v>106722.0</v>
      </c>
      <c r="I229" s="57">
        <v>123268.0</v>
      </c>
    </row>
    <row r="230">
      <c r="B230" s="144"/>
      <c r="C230" s="146" t="s">
        <v>340</v>
      </c>
      <c r="D230" s="17"/>
      <c r="E230" s="20">
        <v>8796.0</v>
      </c>
      <c r="F230" s="20">
        <v>4937.0</v>
      </c>
      <c r="G230" s="20">
        <v>1670.0</v>
      </c>
      <c r="H230" s="20">
        <v>17250.0</v>
      </c>
      <c r="I230" s="20">
        <v>17130.0</v>
      </c>
    </row>
    <row r="231">
      <c r="B231" s="144"/>
      <c r="C231" s="75" t="s">
        <v>370</v>
      </c>
      <c r="D231" s="17"/>
      <c r="E231" s="20">
        <v>12459.0</v>
      </c>
      <c r="F231" s="20">
        <v>11926.0</v>
      </c>
      <c r="G231" s="20">
        <v>7152.0</v>
      </c>
      <c r="H231" s="20">
        <v>28643.0</v>
      </c>
      <c r="I231" s="20">
        <v>107766.0</v>
      </c>
    </row>
    <row r="232">
      <c r="B232" s="144"/>
      <c r="C232" s="75" t="s">
        <v>368</v>
      </c>
      <c r="D232" s="17"/>
      <c r="E232" s="147">
        <v>15675.0</v>
      </c>
      <c r="F232" s="20">
        <v>11613.0</v>
      </c>
      <c r="G232" s="20">
        <v>17937.0</v>
      </c>
      <c r="H232" s="20">
        <v>24865.0</v>
      </c>
      <c r="I232" s="20">
        <v>85607.0</v>
      </c>
    </row>
    <row r="233">
      <c r="B233" s="144"/>
      <c r="C233" s="75" t="s">
        <v>359</v>
      </c>
      <c r="D233" s="17"/>
      <c r="E233" s="20">
        <v>21482.0</v>
      </c>
      <c r="F233" s="57">
        <v>17066.0</v>
      </c>
      <c r="G233" s="57">
        <v>19180.0</v>
      </c>
      <c r="H233" s="57">
        <v>30574.0</v>
      </c>
      <c r="I233" s="57">
        <v>66125.0</v>
      </c>
    </row>
    <row r="234">
      <c r="B234" s="144"/>
      <c r="C234" s="75" t="s">
        <v>356</v>
      </c>
      <c r="D234" s="17"/>
      <c r="E234" s="20">
        <v>42227.0</v>
      </c>
      <c r="F234" s="20">
        <v>39474.0</v>
      </c>
      <c r="G234" s="20">
        <v>31645.0</v>
      </c>
      <c r="H234" s="20">
        <v>55010.0</v>
      </c>
      <c r="I234" s="20">
        <v>138741.0</v>
      </c>
    </row>
    <row r="235">
      <c r="B235" s="144"/>
      <c r="C235" s="75" t="s">
        <v>360</v>
      </c>
      <c r="D235" s="17"/>
      <c r="E235" s="20">
        <v>193732.0</v>
      </c>
      <c r="F235" s="57">
        <v>18289.0</v>
      </c>
      <c r="G235" s="20">
        <v>46913.0</v>
      </c>
      <c r="H235" s="20">
        <v>78701.0</v>
      </c>
      <c r="I235" s="20">
        <v>135270.0</v>
      </c>
    </row>
    <row r="236">
      <c r="B236" s="148"/>
      <c r="C236" s="65" t="s">
        <v>361</v>
      </c>
      <c r="D236" s="17"/>
      <c r="E236" s="20">
        <v>55420.0</v>
      </c>
      <c r="F236" s="80">
        <v>60636.0</v>
      </c>
      <c r="G236" s="57">
        <v>70238.0</v>
      </c>
      <c r="H236" s="57">
        <v>85417.0</v>
      </c>
      <c r="I236" s="57">
        <v>199363.0</v>
      </c>
    </row>
    <row r="237">
      <c r="B237" s="148"/>
      <c r="C237" s="65" t="s">
        <v>357</v>
      </c>
      <c r="D237" s="17"/>
      <c r="E237" s="20">
        <v>36994.0</v>
      </c>
      <c r="F237" s="145">
        <v>35210.0</v>
      </c>
      <c r="G237" s="145">
        <v>32666.0</v>
      </c>
      <c r="H237" s="145">
        <v>78782.0</v>
      </c>
      <c r="I237" s="145">
        <v>216626.0</v>
      </c>
    </row>
    <row r="238">
      <c r="B238" s="148"/>
      <c r="C238" s="65" t="s">
        <v>337</v>
      </c>
      <c r="D238" s="17"/>
      <c r="E238" s="149">
        <v>38156.0</v>
      </c>
      <c r="F238" s="145">
        <v>33447.0</v>
      </c>
      <c r="G238" s="145">
        <v>63756.0</v>
      </c>
      <c r="H238" s="145">
        <v>111662.0</v>
      </c>
      <c r="I238" s="145">
        <v>135333.0</v>
      </c>
    </row>
    <row r="239">
      <c r="B239" s="148"/>
      <c r="C239" s="65" t="s">
        <v>341</v>
      </c>
      <c r="D239" s="17"/>
      <c r="E239" s="20">
        <v>18991.0</v>
      </c>
      <c r="F239" s="20">
        <v>15867.0</v>
      </c>
      <c r="G239" s="20">
        <v>258.0</v>
      </c>
      <c r="H239" s="20">
        <v>92008.0</v>
      </c>
      <c r="I239" s="20">
        <v>134333.0</v>
      </c>
    </row>
    <row r="240">
      <c r="B240" s="148"/>
      <c r="C240" s="65" t="s">
        <v>338</v>
      </c>
      <c r="D240" s="150"/>
      <c r="E240" s="57">
        <v>111901.0</v>
      </c>
      <c r="F240" s="145">
        <v>10293.0</v>
      </c>
      <c r="G240" s="145">
        <v>10186.0</v>
      </c>
      <c r="H240" s="145">
        <v>73192.0</v>
      </c>
      <c r="I240" s="145">
        <v>169606.0</v>
      </c>
    </row>
    <row r="241">
      <c r="B241" s="148"/>
      <c r="C241" s="65" t="s">
        <v>334</v>
      </c>
      <c r="D241" s="150"/>
      <c r="E241" s="57">
        <v>44045.0</v>
      </c>
      <c r="F241" s="145">
        <v>42488.0</v>
      </c>
      <c r="G241" s="145">
        <v>49039.0</v>
      </c>
      <c r="H241" s="145">
        <v>66268.0</v>
      </c>
      <c r="I241" s="145">
        <v>73960.0</v>
      </c>
    </row>
    <row r="242">
      <c r="B242" s="148"/>
      <c r="C242" s="65" t="s">
        <v>310</v>
      </c>
      <c r="D242" s="150"/>
      <c r="E242" s="57">
        <v>2177.0</v>
      </c>
      <c r="F242" s="20">
        <v>1231.0</v>
      </c>
      <c r="G242" s="57">
        <v>952.0</v>
      </c>
      <c r="H242" s="20">
        <v>1908.0</v>
      </c>
      <c r="I242" s="20">
        <v>3035.0</v>
      </c>
    </row>
    <row r="243">
      <c r="B243" s="148"/>
      <c r="C243" s="65" t="s">
        <v>307</v>
      </c>
      <c r="D243" s="150"/>
      <c r="E243" s="57">
        <v>69976.0</v>
      </c>
      <c r="F243" s="57">
        <v>77963.0</v>
      </c>
      <c r="G243" s="80">
        <v>69118.0</v>
      </c>
      <c r="H243" s="57">
        <v>78608.0</v>
      </c>
      <c r="I243" s="57">
        <v>86617.0</v>
      </c>
    </row>
    <row r="244">
      <c r="B244" s="148"/>
      <c r="C244" s="65" t="s">
        <v>306</v>
      </c>
      <c r="D244" s="150"/>
      <c r="E244" s="57">
        <v>80505.0</v>
      </c>
      <c r="F244" s="121">
        <v>104211.0</v>
      </c>
      <c r="G244" s="121">
        <v>104666.0</v>
      </c>
      <c r="H244" s="122">
        <v>130861.0</v>
      </c>
      <c r="I244" s="122">
        <v>139248.0</v>
      </c>
    </row>
    <row r="245">
      <c r="B245" s="148"/>
      <c r="C245" s="65" t="s">
        <v>309</v>
      </c>
      <c r="D245" s="150"/>
      <c r="E245" s="57">
        <v>68201.0</v>
      </c>
      <c r="F245" s="57">
        <v>88187.0</v>
      </c>
      <c r="G245" s="57">
        <v>79806.0</v>
      </c>
      <c r="H245" s="57">
        <v>94938.0</v>
      </c>
      <c r="I245" s="57">
        <v>118671.0</v>
      </c>
    </row>
    <row r="246">
      <c r="B246" s="148"/>
      <c r="C246" s="65" t="s">
        <v>40</v>
      </c>
      <c r="D246" s="150"/>
      <c r="E246" s="57">
        <v>46022.0</v>
      </c>
      <c r="F246" s="145">
        <v>43812.0</v>
      </c>
      <c r="G246" s="145">
        <v>41519.0</v>
      </c>
      <c r="H246" s="145">
        <v>50871.0</v>
      </c>
      <c r="I246" s="145">
        <v>57916.0</v>
      </c>
    </row>
    <row r="247">
      <c r="B247" s="148"/>
      <c r="C247" s="65" t="s">
        <v>70</v>
      </c>
      <c r="D247" s="150"/>
      <c r="E247" s="57">
        <v>77361.0</v>
      </c>
      <c r="F247" s="57">
        <v>73006.0</v>
      </c>
      <c r="G247" s="57">
        <v>69369.0</v>
      </c>
      <c r="H247" s="57">
        <v>86589.0</v>
      </c>
      <c r="I247" s="57">
        <v>103444.0</v>
      </c>
    </row>
    <row r="248">
      <c r="B248" s="148"/>
      <c r="C248" s="65" t="s">
        <v>364</v>
      </c>
      <c r="D248" s="150"/>
      <c r="E248" s="57">
        <v>13579.0</v>
      </c>
      <c r="F248" s="57">
        <v>17217.0</v>
      </c>
      <c r="G248" s="57">
        <v>31583.0</v>
      </c>
      <c r="H248" s="57">
        <v>34523.0</v>
      </c>
      <c r="I248" s="57">
        <v>132943.0</v>
      </c>
    </row>
    <row r="249">
      <c r="B249" s="148"/>
      <c r="C249" s="65" t="s">
        <v>366</v>
      </c>
      <c r="D249" s="150"/>
      <c r="E249" s="57">
        <v>18913.0</v>
      </c>
      <c r="F249" s="57">
        <v>33920.0</v>
      </c>
      <c r="G249" s="57">
        <v>27368.0</v>
      </c>
      <c r="H249" s="57">
        <v>54618.0</v>
      </c>
      <c r="I249" s="57">
        <v>133237.0</v>
      </c>
    </row>
    <row r="250">
      <c r="B250" s="148"/>
      <c r="C250" s="65" t="s">
        <v>362</v>
      </c>
      <c r="D250" s="150"/>
      <c r="E250" s="57">
        <v>10654.0</v>
      </c>
      <c r="F250" s="57">
        <v>17241.0</v>
      </c>
      <c r="G250" s="57">
        <v>33093.0</v>
      </c>
      <c r="H250" s="57">
        <v>34705.0</v>
      </c>
      <c r="I250" s="57">
        <v>157262.0</v>
      </c>
    </row>
    <row r="251">
      <c r="B251" s="148"/>
      <c r="C251" s="65" t="s">
        <v>348</v>
      </c>
      <c r="D251" s="150"/>
      <c r="E251" s="57">
        <v>17757.0</v>
      </c>
      <c r="F251" s="57">
        <v>6451.0</v>
      </c>
      <c r="G251" s="57">
        <v>1755.0</v>
      </c>
      <c r="H251" s="57">
        <v>38439.0</v>
      </c>
      <c r="I251" s="57">
        <v>40537.0</v>
      </c>
    </row>
    <row r="252">
      <c r="B252" s="148"/>
      <c r="C252" s="65" t="s">
        <v>349</v>
      </c>
      <c r="D252" s="139"/>
      <c r="E252" s="57">
        <v>14407.0</v>
      </c>
      <c r="F252" s="57">
        <v>8888.0</v>
      </c>
      <c r="G252" s="57">
        <v>30668.0</v>
      </c>
      <c r="H252" s="57">
        <v>39662.0</v>
      </c>
      <c r="I252" s="57">
        <v>42227.0</v>
      </c>
    </row>
    <row r="253">
      <c r="B253" s="148"/>
      <c r="C253" s="65" t="s">
        <v>346</v>
      </c>
      <c r="D253" s="139"/>
      <c r="E253" s="57">
        <v>10246.0</v>
      </c>
      <c r="F253" s="57">
        <v>6480.0</v>
      </c>
      <c r="G253" s="57">
        <v>7384.0</v>
      </c>
      <c r="H253" s="57">
        <v>72512.0</v>
      </c>
      <c r="I253" s="57">
        <v>86047.0</v>
      </c>
    </row>
    <row r="254">
      <c r="B254" s="148"/>
      <c r="C254" s="65" t="s">
        <v>303</v>
      </c>
      <c r="D254" s="139"/>
      <c r="E254" s="57">
        <v>15710.0</v>
      </c>
      <c r="F254" s="57">
        <v>16635.0</v>
      </c>
      <c r="G254" s="57">
        <v>14827.0</v>
      </c>
      <c r="H254" s="57">
        <v>16673.0</v>
      </c>
      <c r="I254" s="57">
        <v>16911.0</v>
      </c>
    </row>
    <row r="255">
      <c r="B255" s="148"/>
      <c r="C255" s="65" t="s">
        <v>304</v>
      </c>
      <c r="D255" s="139"/>
      <c r="E255" s="57">
        <v>84406.0</v>
      </c>
      <c r="F255" s="57">
        <v>94191.0</v>
      </c>
      <c r="G255" s="57">
        <v>93703.0</v>
      </c>
      <c r="H255" s="57">
        <v>113012.0</v>
      </c>
      <c r="I255" s="57">
        <v>134203.0</v>
      </c>
    </row>
    <row r="256">
      <c r="B256" s="148"/>
      <c r="C256" s="65" t="s">
        <v>300</v>
      </c>
      <c r="D256" s="139"/>
      <c r="E256" s="57">
        <v>18980.0</v>
      </c>
      <c r="F256" s="57">
        <v>18568.0</v>
      </c>
      <c r="G256" s="57">
        <v>16039.0</v>
      </c>
      <c r="H256" s="57">
        <v>36634.0</v>
      </c>
      <c r="I256" s="57">
        <v>79357.0</v>
      </c>
    </row>
    <row r="257">
      <c r="C257" s="65" t="s">
        <v>302</v>
      </c>
      <c r="D257" s="139"/>
      <c r="E257" s="57">
        <v>10092.0</v>
      </c>
      <c r="F257" s="57">
        <v>5429.0</v>
      </c>
      <c r="G257" s="57">
        <v>27.0</v>
      </c>
      <c r="H257" s="57">
        <v>13763.0</v>
      </c>
      <c r="I257" s="57">
        <v>15159.0</v>
      </c>
    </row>
    <row r="258">
      <c r="C258" s="65" t="s">
        <v>305</v>
      </c>
      <c r="D258" s="139"/>
      <c r="E258" s="57">
        <v>61051.0</v>
      </c>
      <c r="F258" s="57">
        <v>66047.0</v>
      </c>
      <c r="G258" s="57">
        <v>71129.0</v>
      </c>
      <c r="H258" s="57">
        <v>82499.0</v>
      </c>
      <c r="I258" s="57">
        <v>96228.0</v>
      </c>
    </row>
    <row r="259">
      <c r="C259" s="65" t="s">
        <v>301</v>
      </c>
      <c r="D259" s="139"/>
      <c r="E259" s="57">
        <v>34680.0</v>
      </c>
      <c r="F259" s="57">
        <v>35131.0</v>
      </c>
      <c r="G259" s="57">
        <v>32431.0</v>
      </c>
      <c r="H259" s="57">
        <v>35684.0</v>
      </c>
      <c r="I259" s="57">
        <v>36683.0</v>
      </c>
    </row>
    <row r="260">
      <c r="C260" s="69" t="s">
        <v>326</v>
      </c>
      <c r="D260" s="139"/>
      <c r="E260" s="57">
        <v>39465.0</v>
      </c>
      <c r="F260" s="57">
        <v>43845.0</v>
      </c>
      <c r="G260" s="57">
        <v>59038.0</v>
      </c>
      <c r="H260" s="57">
        <v>75811.0</v>
      </c>
      <c r="I260" s="57">
        <v>135565.0</v>
      </c>
    </row>
    <row r="261">
      <c r="C261" s="69" t="s">
        <v>325</v>
      </c>
      <c r="D261" s="139"/>
      <c r="E261" s="57">
        <v>60186.0</v>
      </c>
      <c r="F261" s="57">
        <v>81746.0</v>
      </c>
      <c r="G261" s="57">
        <v>92202.0</v>
      </c>
      <c r="H261" s="57">
        <v>104421.0</v>
      </c>
      <c r="I261" s="57">
        <v>181121.0</v>
      </c>
    </row>
    <row r="262">
      <c r="C262" s="65" t="s">
        <v>296</v>
      </c>
      <c r="D262" s="139"/>
      <c r="E262" s="57">
        <v>25800.0</v>
      </c>
      <c r="F262" s="57">
        <v>25117.0</v>
      </c>
      <c r="G262" s="57">
        <v>22248.0</v>
      </c>
      <c r="H262" s="57">
        <v>27917.0</v>
      </c>
      <c r="I262" s="57">
        <v>32666.0</v>
      </c>
    </row>
    <row r="263">
      <c r="C263" s="65" t="s">
        <v>298</v>
      </c>
      <c r="D263" s="139"/>
      <c r="E263" s="57">
        <v>54171.0</v>
      </c>
      <c r="F263" s="57">
        <v>76880.0</v>
      </c>
      <c r="G263" s="57">
        <v>74966.0</v>
      </c>
      <c r="H263" s="57">
        <v>80825.0</v>
      </c>
      <c r="I263" s="57">
        <v>167724.0</v>
      </c>
    </row>
    <row r="264">
      <c r="C264" s="65" t="s">
        <v>292</v>
      </c>
      <c r="D264" s="139"/>
      <c r="E264" s="57">
        <v>40410.0</v>
      </c>
      <c r="F264" s="57">
        <v>58008.0</v>
      </c>
      <c r="G264" s="57">
        <v>56980.0</v>
      </c>
      <c r="H264" s="57">
        <v>59548.0</v>
      </c>
      <c r="I264" s="57">
        <v>94590.0</v>
      </c>
    </row>
    <row r="265">
      <c r="C265" s="65" t="s">
        <v>308</v>
      </c>
      <c r="D265" s="139"/>
      <c r="E265" s="57">
        <v>59342.0</v>
      </c>
      <c r="F265" s="57">
        <v>60359.0</v>
      </c>
      <c r="G265" s="57">
        <v>76219.0</v>
      </c>
      <c r="H265" s="57">
        <v>78828.0</v>
      </c>
      <c r="I265" s="57">
        <v>107746.0</v>
      </c>
    </row>
    <row r="266">
      <c r="C266" s="65" t="s">
        <v>321</v>
      </c>
      <c r="D266" s="139"/>
      <c r="E266" s="57">
        <v>51369.0</v>
      </c>
      <c r="F266" s="57">
        <v>49334.0</v>
      </c>
      <c r="G266" s="57">
        <v>47728.0</v>
      </c>
      <c r="H266" s="57">
        <v>51237.0</v>
      </c>
      <c r="I266" s="57">
        <v>51373.0</v>
      </c>
    </row>
    <row r="267">
      <c r="C267" s="65" t="s">
        <v>319</v>
      </c>
      <c r="D267" s="139"/>
      <c r="E267" s="57">
        <v>104120.0</v>
      </c>
      <c r="F267" s="57">
        <v>130274.0</v>
      </c>
      <c r="G267" s="57">
        <v>119756.0</v>
      </c>
      <c r="H267" s="57">
        <v>142423.0</v>
      </c>
      <c r="I267" s="57">
        <v>156525.0</v>
      </c>
    </row>
    <row r="268">
      <c r="C268" s="65" t="s">
        <v>327</v>
      </c>
      <c r="D268" s="139"/>
      <c r="E268" s="57">
        <v>157280.0</v>
      </c>
      <c r="F268" s="57">
        <v>150652.0</v>
      </c>
      <c r="G268" s="57">
        <v>182674.0</v>
      </c>
      <c r="H268" s="57">
        <v>244712.0</v>
      </c>
      <c r="I268" s="57">
        <v>265152.0</v>
      </c>
    </row>
    <row r="269">
      <c r="E269" s="151"/>
      <c r="G269" s="151"/>
      <c r="I269" s="151"/>
    </row>
    <row r="270">
      <c r="E270" s="151"/>
      <c r="G270" s="151"/>
      <c r="I270" s="151"/>
    </row>
    <row r="271">
      <c r="E271" s="151"/>
      <c r="G271" s="151"/>
      <c r="I271" s="151"/>
    </row>
    <row r="272">
      <c r="E272" s="151"/>
      <c r="G272" s="151"/>
      <c r="I272" s="151"/>
    </row>
    <row r="273">
      <c r="E273" s="151"/>
      <c r="G273" s="151"/>
      <c r="I273" s="151"/>
    </row>
    <row r="274">
      <c r="E274" s="151"/>
      <c r="G274" s="151"/>
      <c r="I274" s="151"/>
    </row>
    <row r="275">
      <c r="E275" s="151"/>
      <c r="G275" s="151"/>
      <c r="I275" s="151"/>
    </row>
    <row r="276">
      <c r="E276" s="151"/>
      <c r="G276" s="151"/>
      <c r="I276" s="151"/>
    </row>
    <row r="277">
      <c r="E277" s="151"/>
      <c r="G277" s="151"/>
      <c r="I277" s="151"/>
    </row>
    <row r="278">
      <c r="E278" s="151"/>
      <c r="G278" s="151"/>
      <c r="I278" s="151"/>
    </row>
    <row r="279">
      <c r="E279" s="151"/>
      <c r="G279" s="151"/>
      <c r="I279" s="151"/>
    </row>
    <row r="280">
      <c r="E280" s="151"/>
      <c r="G280" s="151"/>
      <c r="I280" s="151"/>
    </row>
    <row r="281">
      <c r="E281" s="151"/>
      <c r="G281" s="151"/>
      <c r="I281" s="151"/>
    </row>
    <row r="282">
      <c r="E282" s="151"/>
      <c r="G282" s="151"/>
      <c r="I282" s="151"/>
    </row>
    <row r="283">
      <c r="E283" s="151"/>
      <c r="G283" s="151"/>
      <c r="I283" s="151"/>
    </row>
    <row r="284">
      <c r="E284" s="151"/>
      <c r="G284" s="151"/>
      <c r="I284" s="151"/>
    </row>
    <row r="285">
      <c r="E285" s="151"/>
      <c r="G285" s="151"/>
      <c r="I285" s="151"/>
    </row>
    <row r="286">
      <c r="E286" s="151"/>
      <c r="G286" s="151"/>
      <c r="I286" s="151"/>
    </row>
    <row r="287">
      <c r="E287" s="151"/>
      <c r="G287" s="151"/>
      <c r="I287" s="151"/>
    </row>
    <row r="288">
      <c r="E288" s="151"/>
      <c r="G288" s="151"/>
      <c r="I288" s="151"/>
    </row>
    <row r="289">
      <c r="E289" s="151"/>
      <c r="G289" s="151"/>
      <c r="I289" s="151"/>
    </row>
    <row r="290">
      <c r="E290" s="151"/>
      <c r="G290" s="151"/>
      <c r="I290" s="151"/>
    </row>
    <row r="291">
      <c r="E291" s="151"/>
      <c r="G291" s="151"/>
      <c r="I291" s="151"/>
    </row>
    <row r="292">
      <c r="E292" s="151"/>
      <c r="G292" s="151"/>
      <c r="I292" s="151"/>
    </row>
    <row r="293">
      <c r="E293" s="151"/>
      <c r="G293" s="151"/>
      <c r="I293" s="151"/>
    </row>
    <row r="294">
      <c r="E294" s="151"/>
      <c r="G294" s="151"/>
      <c r="I294" s="151"/>
    </row>
    <row r="295">
      <c r="E295" s="151"/>
      <c r="G295" s="151"/>
      <c r="I295" s="151"/>
    </row>
    <row r="296">
      <c r="E296" s="151"/>
      <c r="G296" s="151"/>
      <c r="I296" s="151"/>
    </row>
    <row r="297">
      <c r="E297" s="151"/>
      <c r="G297" s="151"/>
      <c r="I297" s="151"/>
    </row>
    <row r="298">
      <c r="E298" s="151"/>
      <c r="G298" s="151"/>
      <c r="I298" s="151"/>
    </row>
    <row r="299">
      <c r="E299" s="151"/>
      <c r="G299" s="151"/>
      <c r="I299" s="151"/>
    </row>
    <row r="300">
      <c r="E300" s="151"/>
      <c r="G300" s="151"/>
      <c r="I300" s="151"/>
    </row>
    <row r="301">
      <c r="E301" s="151"/>
      <c r="G301" s="151"/>
      <c r="I301" s="151"/>
    </row>
    <row r="302">
      <c r="E302" s="151"/>
      <c r="G302" s="151"/>
      <c r="I302" s="151"/>
    </row>
    <row r="303">
      <c r="E303" s="151"/>
      <c r="G303" s="151"/>
      <c r="I303" s="151"/>
    </row>
    <row r="304">
      <c r="E304" s="151"/>
      <c r="G304" s="151"/>
      <c r="I304" s="151"/>
    </row>
    <row r="305">
      <c r="E305" s="151"/>
      <c r="G305" s="151"/>
      <c r="I305" s="151"/>
    </row>
    <row r="306">
      <c r="E306" s="151"/>
      <c r="G306" s="151"/>
      <c r="I306" s="151"/>
    </row>
    <row r="307">
      <c r="E307" s="151"/>
      <c r="G307" s="151"/>
      <c r="I307" s="151"/>
    </row>
    <row r="308">
      <c r="E308" s="151"/>
      <c r="G308" s="151"/>
      <c r="I308" s="151"/>
    </row>
    <row r="309">
      <c r="E309" s="151"/>
      <c r="G309" s="151"/>
      <c r="I309" s="151"/>
    </row>
    <row r="310">
      <c r="E310" s="151"/>
      <c r="G310" s="151"/>
      <c r="I310" s="151"/>
    </row>
    <row r="311">
      <c r="E311" s="151"/>
      <c r="G311" s="151"/>
      <c r="I311" s="151"/>
    </row>
    <row r="312">
      <c r="E312" s="151"/>
      <c r="G312" s="151"/>
      <c r="I312" s="151"/>
    </row>
    <row r="313">
      <c r="E313" s="151"/>
      <c r="G313" s="151"/>
      <c r="I313" s="151"/>
    </row>
    <row r="314">
      <c r="E314" s="151"/>
      <c r="G314" s="151"/>
      <c r="I314" s="151"/>
    </row>
    <row r="315">
      <c r="E315" s="151"/>
      <c r="G315" s="151"/>
      <c r="I315" s="151"/>
    </row>
    <row r="316">
      <c r="E316" s="151"/>
      <c r="G316" s="151"/>
      <c r="I316" s="151"/>
    </row>
    <row r="317">
      <c r="E317" s="151"/>
      <c r="G317" s="151"/>
      <c r="I317" s="151"/>
    </row>
    <row r="318">
      <c r="E318" s="151"/>
      <c r="G318" s="151"/>
      <c r="I318" s="151"/>
    </row>
    <row r="319">
      <c r="E319" s="151"/>
      <c r="G319" s="151"/>
      <c r="I319" s="151"/>
    </row>
    <row r="320">
      <c r="E320" s="151"/>
      <c r="G320" s="151"/>
      <c r="I320" s="151"/>
    </row>
    <row r="321">
      <c r="E321" s="151"/>
      <c r="G321" s="151"/>
      <c r="I321" s="151"/>
    </row>
    <row r="322">
      <c r="E322" s="151"/>
      <c r="G322" s="151"/>
      <c r="I322" s="151"/>
    </row>
    <row r="323">
      <c r="E323" s="151"/>
      <c r="G323" s="151"/>
      <c r="I323" s="151"/>
    </row>
    <row r="324">
      <c r="E324" s="151"/>
      <c r="G324" s="151"/>
      <c r="I324" s="151"/>
    </row>
    <row r="325">
      <c r="E325" s="151"/>
      <c r="G325" s="151"/>
      <c r="I325" s="151"/>
    </row>
    <row r="326">
      <c r="E326" s="151"/>
      <c r="G326" s="151"/>
      <c r="I326" s="151"/>
    </row>
    <row r="327">
      <c r="E327" s="151"/>
      <c r="G327" s="151"/>
      <c r="I327" s="151"/>
    </row>
    <row r="328">
      <c r="E328" s="151"/>
      <c r="G328" s="151"/>
      <c r="I328" s="151"/>
    </row>
    <row r="329">
      <c r="E329" s="151"/>
      <c r="G329" s="151"/>
      <c r="I329" s="151"/>
    </row>
    <row r="330">
      <c r="E330" s="151"/>
      <c r="G330" s="151"/>
      <c r="I330" s="151"/>
    </row>
    <row r="331">
      <c r="E331" s="151"/>
      <c r="G331" s="151"/>
      <c r="I331" s="151"/>
    </row>
    <row r="332">
      <c r="E332" s="151"/>
      <c r="G332" s="151"/>
      <c r="I332" s="151"/>
    </row>
    <row r="333">
      <c r="E333" s="151"/>
      <c r="G333" s="151"/>
      <c r="I333" s="151"/>
    </row>
    <row r="334">
      <c r="E334" s="151"/>
      <c r="G334" s="151"/>
      <c r="I334" s="151"/>
    </row>
    <row r="335">
      <c r="E335" s="151"/>
      <c r="G335" s="151"/>
      <c r="I335" s="151"/>
    </row>
    <row r="336">
      <c r="E336" s="151"/>
      <c r="G336" s="151"/>
      <c r="I336" s="151"/>
    </row>
    <row r="337">
      <c r="E337" s="151"/>
      <c r="G337" s="151"/>
      <c r="I337" s="151"/>
    </row>
    <row r="338">
      <c r="E338" s="151"/>
      <c r="G338" s="151"/>
      <c r="I338" s="151"/>
    </row>
    <row r="339">
      <c r="E339" s="151"/>
      <c r="G339" s="151"/>
      <c r="I339" s="151"/>
    </row>
    <row r="340">
      <c r="E340" s="151"/>
      <c r="G340" s="151"/>
      <c r="I340" s="151"/>
    </row>
    <row r="341">
      <c r="E341" s="151"/>
      <c r="G341" s="151"/>
      <c r="I341" s="151"/>
    </row>
    <row r="342">
      <c r="E342" s="151"/>
      <c r="G342" s="151"/>
      <c r="I342" s="151"/>
    </row>
    <row r="343">
      <c r="E343" s="151"/>
      <c r="G343" s="151"/>
      <c r="I343" s="151"/>
    </row>
    <row r="344">
      <c r="E344" s="151"/>
      <c r="G344" s="151"/>
      <c r="I344" s="151"/>
    </row>
    <row r="345">
      <c r="E345" s="151"/>
      <c r="G345" s="151"/>
      <c r="I345" s="151"/>
    </row>
    <row r="346">
      <c r="E346" s="151"/>
      <c r="G346" s="151"/>
      <c r="I346" s="151"/>
    </row>
    <row r="347">
      <c r="E347" s="151"/>
      <c r="G347" s="151"/>
      <c r="I347" s="151"/>
    </row>
    <row r="348">
      <c r="E348" s="151"/>
      <c r="G348" s="151"/>
      <c r="I348" s="151"/>
    </row>
    <row r="349">
      <c r="E349" s="151"/>
      <c r="G349" s="151"/>
      <c r="I349" s="151"/>
    </row>
    <row r="350">
      <c r="E350" s="151"/>
      <c r="G350" s="151"/>
      <c r="I350" s="151"/>
    </row>
    <row r="351">
      <c r="E351" s="151"/>
      <c r="G351" s="151"/>
      <c r="I351" s="151"/>
    </row>
    <row r="352">
      <c r="E352" s="151"/>
      <c r="G352" s="151"/>
      <c r="I352" s="151"/>
    </row>
    <row r="353">
      <c r="E353" s="151"/>
      <c r="G353" s="151"/>
      <c r="I353" s="151"/>
    </row>
    <row r="354">
      <c r="E354" s="151"/>
      <c r="G354" s="151"/>
      <c r="I354" s="151"/>
    </row>
    <row r="355">
      <c r="E355" s="151"/>
      <c r="G355" s="151"/>
      <c r="I355" s="151"/>
    </row>
    <row r="356">
      <c r="E356" s="151"/>
      <c r="G356" s="151"/>
      <c r="I356" s="151"/>
    </row>
    <row r="357">
      <c r="E357" s="151"/>
      <c r="G357" s="151"/>
      <c r="I357" s="151"/>
    </row>
    <row r="358">
      <c r="E358" s="151"/>
      <c r="G358" s="151"/>
      <c r="I358" s="151"/>
    </row>
    <row r="359">
      <c r="E359" s="151"/>
      <c r="G359" s="151"/>
      <c r="I359" s="151"/>
    </row>
    <row r="360">
      <c r="E360" s="151"/>
      <c r="G360" s="151"/>
      <c r="I360" s="151"/>
    </row>
    <row r="361">
      <c r="E361" s="151"/>
      <c r="G361" s="151"/>
      <c r="I361" s="151"/>
    </row>
    <row r="362">
      <c r="E362" s="151"/>
      <c r="G362" s="151"/>
      <c r="I362" s="151"/>
    </row>
    <row r="363">
      <c r="E363" s="151"/>
      <c r="G363" s="151"/>
      <c r="I363" s="151"/>
    </row>
    <row r="364">
      <c r="E364" s="151"/>
      <c r="G364" s="151"/>
      <c r="I364" s="151"/>
    </row>
    <row r="365">
      <c r="E365" s="151"/>
      <c r="G365" s="151"/>
      <c r="I365" s="151"/>
    </row>
    <row r="366">
      <c r="E366" s="151"/>
      <c r="G366" s="151"/>
      <c r="I366" s="151"/>
    </row>
    <row r="367">
      <c r="E367" s="151"/>
      <c r="G367" s="151"/>
      <c r="I367" s="151"/>
    </row>
    <row r="368">
      <c r="E368" s="151"/>
      <c r="G368" s="151"/>
      <c r="I368" s="151"/>
    </row>
    <row r="369">
      <c r="E369" s="151"/>
      <c r="G369" s="151"/>
      <c r="I369" s="151"/>
    </row>
    <row r="370">
      <c r="E370" s="151"/>
      <c r="G370" s="151"/>
      <c r="I370" s="151"/>
    </row>
    <row r="371">
      <c r="E371" s="151"/>
      <c r="G371" s="151"/>
      <c r="I371" s="151"/>
    </row>
    <row r="372">
      <c r="E372" s="151"/>
      <c r="G372" s="151"/>
      <c r="I372" s="151"/>
    </row>
    <row r="373">
      <c r="E373" s="151"/>
      <c r="G373" s="151"/>
      <c r="I373" s="151"/>
    </row>
    <row r="374">
      <c r="E374" s="151"/>
      <c r="G374" s="151"/>
      <c r="I374" s="151"/>
    </row>
    <row r="375">
      <c r="E375" s="151"/>
      <c r="G375" s="151"/>
      <c r="I375" s="151"/>
    </row>
    <row r="376">
      <c r="E376" s="151"/>
      <c r="G376" s="151"/>
      <c r="I376" s="151"/>
    </row>
    <row r="377">
      <c r="E377" s="151"/>
      <c r="G377" s="151"/>
      <c r="I377" s="151"/>
    </row>
    <row r="378">
      <c r="E378" s="151"/>
      <c r="G378" s="151"/>
      <c r="I378" s="151"/>
    </row>
    <row r="379">
      <c r="E379" s="151"/>
      <c r="G379" s="151"/>
      <c r="I379" s="151"/>
    </row>
    <row r="380">
      <c r="E380" s="151"/>
      <c r="G380" s="151"/>
      <c r="I380" s="151"/>
    </row>
    <row r="381">
      <c r="E381" s="151"/>
      <c r="G381" s="151"/>
      <c r="I381" s="151"/>
    </row>
    <row r="382">
      <c r="E382" s="151"/>
      <c r="G382" s="151"/>
      <c r="I382" s="151"/>
    </row>
    <row r="383">
      <c r="E383" s="151"/>
      <c r="G383" s="151"/>
      <c r="I383" s="151"/>
    </row>
    <row r="384">
      <c r="E384" s="151"/>
      <c r="G384" s="151"/>
      <c r="I384" s="151"/>
    </row>
    <row r="385">
      <c r="E385" s="151"/>
      <c r="G385" s="151"/>
      <c r="I385" s="151"/>
    </row>
    <row r="386">
      <c r="E386" s="151"/>
      <c r="G386" s="151"/>
      <c r="I386" s="151"/>
    </row>
    <row r="387">
      <c r="E387" s="151"/>
      <c r="G387" s="151"/>
      <c r="I387" s="151"/>
    </row>
    <row r="388">
      <c r="E388" s="151"/>
      <c r="G388" s="151"/>
      <c r="I388" s="151"/>
    </row>
    <row r="389">
      <c r="E389" s="151"/>
      <c r="G389" s="151"/>
      <c r="I389" s="151"/>
    </row>
    <row r="390">
      <c r="E390" s="151"/>
      <c r="G390" s="151"/>
      <c r="I390" s="151"/>
    </row>
    <row r="391">
      <c r="E391" s="151"/>
      <c r="G391" s="151"/>
      <c r="I391" s="151"/>
    </row>
    <row r="392">
      <c r="E392" s="151"/>
      <c r="G392" s="151"/>
      <c r="I392" s="151"/>
    </row>
    <row r="393">
      <c r="E393" s="151"/>
      <c r="G393" s="151"/>
      <c r="I393" s="151"/>
    </row>
    <row r="394">
      <c r="E394" s="151"/>
      <c r="G394" s="151"/>
      <c r="I394" s="151"/>
    </row>
    <row r="395">
      <c r="E395" s="151"/>
      <c r="G395" s="151"/>
      <c r="I395" s="151"/>
    </row>
    <row r="396">
      <c r="E396" s="151"/>
      <c r="G396" s="151"/>
      <c r="I396" s="151"/>
    </row>
    <row r="397">
      <c r="E397" s="151"/>
      <c r="G397" s="151"/>
      <c r="I397" s="151"/>
    </row>
    <row r="398">
      <c r="E398" s="151"/>
      <c r="G398" s="151"/>
      <c r="I398" s="151"/>
    </row>
    <row r="399">
      <c r="E399" s="151"/>
      <c r="G399" s="151"/>
      <c r="I399" s="151"/>
    </row>
    <row r="400">
      <c r="E400" s="151"/>
      <c r="G400" s="151"/>
      <c r="I400" s="151"/>
    </row>
    <row r="401">
      <c r="E401" s="151"/>
      <c r="G401" s="151"/>
      <c r="I401" s="151"/>
    </row>
    <row r="402">
      <c r="E402" s="151"/>
      <c r="G402" s="151"/>
      <c r="I402" s="151"/>
    </row>
    <row r="403">
      <c r="E403" s="151"/>
      <c r="G403" s="151"/>
      <c r="I403" s="151"/>
    </row>
    <row r="404">
      <c r="E404" s="151"/>
      <c r="G404" s="151"/>
      <c r="I404" s="151"/>
    </row>
    <row r="405">
      <c r="E405" s="151"/>
      <c r="G405" s="151"/>
      <c r="I405" s="151"/>
    </row>
    <row r="406">
      <c r="E406" s="151"/>
      <c r="G406" s="151"/>
      <c r="I406" s="151"/>
    </row>
    <row r="407">
      <c r="E407" s="151"/>
      <c r="G407" s="151"/>
      <c r="I407" s="151"/>
    </row>
    <row r="408">
      <c r="E408" s="151"/>
      <c r="G408" s="151"/>
      <c r="I408" s="151"/>
    </row>
    <row r="409">
      <c r="E409" s="151"/>
      <c r="G409" s="151"/>
      <c r="I409" s="151"/>
    </row>
    <row r="410">
      <c r="E410" s="151"/>
      <c r="G410" s="151"/>
      <c r="I410" s="151"/>
    </row>
    <row r="411">
      <c r="E411" s="151"/>
      <c r="G411" s="151"/>
      <c r="I411" s="151"/>
    </row>
    <row r="412">
      <c r="E412" s="151"/>
      <c r="G412" s="151"/>
      <c r="I412" s="151"/>
    </row>
    <row r="413">
      <c r="E413" s="151"/>
      <c r="G413" s="151"/>
      <c r="I413" s="151"/>
    </row>
    <row r="414">
      <c r="E414" s="151"/>
      <c r="G414" s="151"/>
      <c r="I414" s="151"/>
    </row>
    <row r="415">
      <c r="E415" s="151"/>
      <c r="G415" s="151"/>
      <c r="I415" s="151"/>
    </row>
    <row r="416">
      <c r="E416" s="151"/>
      <c r="G416" s="151"/>
      <c r="I416" s="151"/>
    </row>
    <row r="417">
      <c r="E417" s="151"/>
      <c r="G417" s="151"/>
      <c r="I417" s="151"/>
    </row>
    <row r="418">
      <c r="E418" s="151"/>
      <c r="G418" s="151"/>
      <c r="I418" s="151"/>
    </row>
    <row r="419">
      <c r="E419" s="151"/>
      <c r="G419" s="151"/>
      <c r="I419" s="151"/>
    </row>
    <row r="420">
      <c r="E420" s="151"/>
      <c r="G420" s="151"/>
      <c r="I420" s="151"/>
    </row>
    <row r="421">
      <c r="E421" s="151"/>
      <c r="G421" s="151"/>
      <c r="I421" s="151"/>
    </row>
    <row r="422">
      <c r="E422" s="151"/>
      <c r="G422" s="151"/>
      <c r="I422" s="151"/>
    </row>
    <row r="423">
      <c r="E423" s="151"/>
      <c r="G423" s="151"/>
      <c r="I423" s="151"/>
    </row>
    <row r="424">
      <c r="E424" s="151"/>
      <c r="G424" s="151"/>
      <c r="I424" s="151"/>
    </row>
    <row r="425">
      <c r="E425" s="151"/>
      <c r="G425" s="151"/>
      <c r="I425" s="151"/>
    </row>
    <row r="426">
      <c r="E426" s="151"/>
      <c r="G426" s="151"/>
      <c r="I426" s="151"/>
    </row>
    <row r="427">
      <c r="E427" s="151"/>
      <c r="G427" s="151"/>
      <c r="I427" s="151"/>
    </row>
    <row r="428">
      <c r="E428" s="151"/>
      <c r="G428" s="151"/>
      <c r="I428" s="151"/>
    </row>
    <row r="429">
      <c r="E429" s="151"/>
      <c r="G429" s="151"/>
      <c r="I429" s="151"/>
    </row>
    <row r="430">
      <c r="E430" s="151"/>
      <c r="G430" s="151"/>
      <c r="I430" s="151"/>
    </row>
    <row r="431">
      <c r="E431" s="151"/>
      <c r="G431" s="151"/>
      <c r="I431" s="151"/>
    </row>
    <row r="432">
      <c r="E432" s="151"/>
      <c r="G432" s="151"/>
      <c r="I432" s="151"/>
    </row>
    <row r="433">
      <c r="E433" s="151"/>
      <c r="G433" s="151"/>
      <c r="I433" s="151"/>
    </row>
    <row r="434">
      <c r="E434" s="151"/>
      <c r="G434" s="151"/>
      <c r="I434" s="151"/>
    </row>
    <row r="435">
      <c r="E435" s="151"/>
      <c r="G435" s="151"/>
      <c r="I435" s="151"/>
    </row>
    <row r="436">
      <c r="E436" s="151"/>
      <c r="G436" s="151"/>
      <c r="I436" s="151"/>
    </row>
    <row r="437">
      <c r="E437" s="151"/>
      <c r="G437" s="151"/>
      <c r="I437" s="151"/>
    </row>
    <row r="438">
      <c r="E438" s="151"/>
      <c r="G438" s="151"/>
      <c r="I438" s="151"/>
    </row>
    <row r="439">
      <c r="E439" s="151"/>
      <c r="G439" s="151"/>
      <c r="I439" s="151"/>
    </row>
    <row r="440">
      <c r="E440" s="151"/>
      <c r="G440" s="151"/>
      <c r="I440" s="151"/>
    </row>
    <row r="441">
      <c r="E441" s="151"/>
      <c r="G441" s="151"/>
      <c r="I441" s="151"/>
    </row>
    <row r="442">
      <c r="E442" s="151"/>
      <c r="G442" s="151"/>
      <c r="I442" s="151"/>
    </row>
    <row r="443">
      <c r="E443" s="151"/>
      <c r="G443" s="151"/>
      <c r="I443" s="151"/>
    </row>
    <row r="444">
      <c r="E444" s="151"/>
      <c r="G444" s="151"/>
      <c r="I444" s="151"/>
    </row>
    <row r="445">
      <c r="E445" s="151"/>
      <c r="G445" s="151"/>
      <c r="I445" s="151"/>
    </row>
    <row r="446">
      <c r="E446" s="151"/>
      <c r="G446" s="151"/>
      <c r="I446" s="151"/>
    </row>
    <row r="447">
      <c r="E447" s="151"/>
      <c r="G447" s="151"/>
      <c r="I447" s="151"/>
    </row>
    <row r="448">
      <c r="E448" s="151"/>
      <c r="G448" s="151"/>
      <c r="I448" s="151"/>
    </row>
    <row r="449">
      <c r="E449" s="151"/>
      <c r="G449" s="151"/>
      <c r="I449" s="151"/>
    </row>
    <row r="450">
      <c r="E450" s="151"/>
      <c r="G450" s="151"/>
      <c r="I450" s="151"/>
    </row>
    <row r="451">
      <c r="E451" s="151"/>
      <c r="G451" s="151"/>
      <c r="I451" s="151"/>
    </row>
    <row r="452">
      <c r="E452" s="151"/>
      <c r="G452" s="151"/>
      <c r="I452" s="151"/>
    </row>
    <row r="453">
      <c r="E453" s="151"/>
      <c r="G453" s="151"/>
      <c r="I453" s="151"/>
    </row>
    <row r="454">
      <c r="E454" s="151"/>
      <c r="G454" s="151"/>
      <c r="I454" s="151"/>
    </row>
    <row r="455">
      <c r="E455" s="151"/>
      <c r="G455" s="151"/>
      <c r="I455" s="151"/>
    </row>
    <row r="456">
      <c r="E456" s="151"/>
      <c r="G456" s="151"/>
      <c r="I456" s="151"/>
    </row>
    <row r="457">
      <c r="E457" s="151"/>
      <c r="G457" s="151"/>
      <c r="I457" s="151"/>
    </row>
    <row r="458">
      <c r="E458" s="151"/>
      <c r="G458" s="151"/>
      <c r="I458" s="151"/>
    </row>
    <row r="459">
      <c r="E459" s="151"/>
      <c r="G459" s="151"/>
      <c r="I459" s="151"/>
    </row>
    <row r="460">
      <c r="E460" s="151"/>
      <c r="G460" s="151"/>
      <c r="I460" s="151"/>
    </row>
    <row r="461">
      <c r="E461" s="151"/>
      <c r="G461" s="151"/>
      <c r="I461" s="151"/>
    </row>
    <row r="462">
      <c r="E462" s="151"/>
      <c r="G462" s="151"/>
      <c r="I462" s="151"/>
    </row>
    <row r="463">
      <c r="E463" s="151"/>
      <c r="G463" s="151"/>
      <c r="I463" s="151"/>
    </row>
    <row r="464">
      <c r="E464" s="151"/>
      <c r="G464" s="151"/>
      <c r="I464" s="151"/>
    </row>
    <row r="465">
      <c r="E465" s="151"/>
      <c r="G465" s="151"/>
      <c r="I465" s="151"/>
    </row>
    <row r="466">
      <c r="E466" s="151"/>
      <c r="G466" s="151"/>
      <c r="I466" s="151"/>
    </row>
    <row r="467">
      <c r="E467" s="151"/>
      <c r="G467" s="151"/>
      <c r="I467" s="151"/>
    </row>
    <row r="468">
      <c r="E468" s="151"/>
      <c r="G468" s="151"/>
      <c r="I468" s="151"/>
    </row>
    <row r="469">
      <c r="E469" s="151"/>
      <c r="G469" s="151"/>
      <c r="I469" s="151"/>
    </row>
    <row r="470">
      <c r="E470" s="151"/>
      <c r="G470" s="151"/>
      <c r="I470" s="151"/>
    </row>
    <row r="471">
      <c r="E471" s="151"/>
      <c r="G471" s="151"/>
      <c r="I471" s="151"/>
    </row>
    <row r="472">
      <c r="E472" s="151"/>
      <c r="G472" s="151"/>
      <c r="I472" s="151"/>
    </row>
    <row r="473">
      <c r="E473" s="151"/>
      <c r="G473" s="151"/>
      <c r="I473" s="151"/>
    </row>
    <row r="474">
      <c r="E474" s="151"/>
      <c r="G474" s="151"/>
      <c r="I474" s="151"/>
    </row>
    <row r="475">
      <c r="E475" s="151"/>
      <c r="G475" s="151"/>
      <c r="I475" s="151"/>
    </row>
    <row r="476">
      <c r="E476" s="151"/>
      <c r="G476" s="151"/>
      <c r="I476" s="151"/>
    </row>
    <row r="477">
      <c r="E477" s="151"/>
      <c r="G477" s="151"/>
      <c r="I477" s="151"/>
    </row>
    <row r="478">
      <c r="E478" s="151"/>
      <c r="G478" s="151"/>
      <c r="I478" s="151"/>
    </row>
    <row r="479">
      <c r="E479" s="151"/>
      <c r="G479" s="151"/>
      <c r="I479" s="151"/>
    </row>
    <row r="480">
      <c r="E480" s="151"/>
      <c r="G480" s="151"/>
      <c r="I480" s="151"/>
    </row>
    <row r="481">
      <c r="E481" s="151"/>
      <c r="G481" s="151"/>
      <c r="I481" s="151"/>
    </row>
    <row r="482">
      <c r="E482" s="151"/>
      <c r="G482" s="151"/>
      <c r="I482" s="151"/>
    </row>
    <row r="483">
      <c r="E483" s="151"/>
      <c r="G483" s="151"/>
      <c r="I483" s="151"/>
    </row>
    <row r="484">
      <c r="E484" s="151"/>
      <c r="G484" s="151"/>
      <c r="I484" s="151"/>
    </row>
    <row r="485">
      <c r="E485" s="151"/>
      <c r="G485" s="151"/>
      <c r="I485" s="151"/>
    </row>
    <row r="486">
      <c r="E486" s="151"/>
      <c r="G486" s="151"/>
      <c r="I486" s="151"/>
    </row>
    <row r="487">
      <c r="E487" s="151"/>
      <c r="G487" s="151"/>
      <c r="I487" s="151"/>
    </row>
    <row r="488">
      <c r="E488" s="151"/>
      <c r="G488" s="151"/>
      <c r="I488" s="151"/>
    </row>
    <row r="489">
      <c r="E489" s="151"/>
      <c r="G489" s="151"/>
      <c r="I489" s="151"/>
    </row>
    <row r="490">
      <c r="E490" s="151"/>
      <c r="G490" s="151"/>
      <c r="I490" s="151"/>
    </row>
    <row r="491">
      <c r="E491" s="151"/>
      <c r="G491" s="151"/>
      <c r="I491" s="151"/>
    </row>
    <row r="492">
      <c r="E492" s="151"/>
      <c r="G492" s="151"/>
      <c r="I492" s="151"/>
    </row>
    <row r="493">
      <c r="E493" s="151"/>
      <c r="G493" s="151"/>
      <c r="I493" s="151"/>
    </row>
    <row r="494">
      <c r="E494" s="151"/>
      <c r="G494" s="151"/>
      <c r="I494" s="151"/>
    </row>
    <row r="495">
      <c r="E495" s="151"/>
      <c r="G495" s="151"/>
      <c r="I495" s="151"/>
    </row>
    <row r="496">
      <c r="E496" s="151"/>
      <c r="G496" s="151"/>
      <c r="I496" s="151"/>
    </row>
    <row r="497">
      <c r="E497" s="151"/>
      <c r="G497" s="151"/>
      <c r="I497" s="151"/>
    </row>
    <row r="498">
      <c r="E498" s="151"/>
      <c r="G498" s="151"/>
      <c r="I498" s="151"/>
    </row>
    <row r="499">
      <c r="E499" s="151"/>
      <c r="G499" s="151"/>
      <c r="I499" s="151"/>
    </row>
    <row r="500">
      <c r="E500" s="151"/>
      <c r="G500" s="151"/>
      <c r="I500" s="151"/>
    </row>
    <row r="501">
      <c r="E501" s="151"/>
      <c r="G501" s="151"/>
      <c r="I501" s="151"/>
    </row>
    <row r="502">
      <c r="E502" s="151"/>
      <c r="G502" s="151"/>
      <c r="I502" s="151"/>
    </row>
    <row r="503">
      <c r="E503" s="151"/>
      <c r="G503" s="151"/>
      <c r="I503" s="151"/>
    </row>
    <row r="504">
      <c r="E504" s="151"/>
      <c r="G504" s="151"/>
      <c r="I504" s="151"/>
    </row>
    <row r="505">
      <c r="E505" s="151"/>
      <c r="G505" s="151"/>
      <c r="I505" s="151"/>
    </row>
    <row r="506">
      <c r="E506" s="151"/>
      <c r="G506" s="151"/>
      <c r="I506" s="151"/>
    </row>
    <row r="507">
      <c r="E507" s="151"/>
      <c r="G507" s="151"/>
      <c r="I507" s="151"/>
    </row>
    <row r="508">
      <c r="E508" s="151"/>
      <c r="G508" s="151"/>
      <c r="I508" s="151"/>
    </row>
    <row r="509">
      <c r="E509" s="151"/>
      <c r="G509" s="151"/>
      <c r="I509" s="151"/>
    </row>
    <row r="510">
      <c r="E510" s="151"/>
      <c r="G510" s="151"/>
      <c r="I510" s="151"/>
    </row>
    <row r="511">
      <c r="E511" s="151"/>
      <c r="G511" s="151"/>
      <c r="I511" s="151"/>
    </row>
    <row r="512">
      <c r="E512" s="151"/>
      <c r="G512" s="151"/>
      <c r="I512" s="151"/>
    </row>
    <row r="513">
      <c r="E513" s="151"/>
      <c r="G513" s="151"/>
      <c r="I513" s="151"/>
    </row>
    <row r="514">
      <c r="E514" s="151"/>
      <c r="G514" s="151"/>
      <c r="I514" s="151"/>
    </row>
    <row r="515">
      <c r="E515" s="151"/>
      <c r="G515" s="151"/>
      <c r="I515" s="151"/>
    </row>
    <row r="516">
      <c r="E516" s="151"/>
      <c r="G516" s="151"/>
      <c r="I516" s="151"/>
    </row>
    <row r="517">
      <c r="E517" s="151"/>
      <c r="G517" s="151"/>
      <c r="I517" s="151"/>
    </row>
    <row r="518">
      <c r="E518" s="151"/>
      <c r="G518" s="151"/>
      <c r="I518" s="151"/>
    </row>
    <row r="519">
      <c r="E519" s="151"/>
      <c r="G519" s="151"/>
      <c r="I519" s="151"/>
    </row>
    <row r="520">
      <c r="E520" s="151"/>
      <c r="G520" s="151"/>
      <c r="I520" s="151"/>
    </row>
    <row r="521">
      <c r="E521" s="151"/>
      <c r="G521" s="151"/>
      <c r="I521" s="151"/>
    </row>
    <row r="522">
      <c r="E522" s="151"/>
      <c r="G522" s="151"/>
      <c r="I522" s="151"/>
    </row>
    <row r="523">
      <c r="E523" s="151"/>
      <c r="G523" s="151"/>
      <c r="I523" s="151"/>
    </row>
    <row r="524">
      <c r="E524" s="151"/>
      <c r="G524" s="151"/>
      <c r="I524" s="151"/>
    </row>
    <row r="525">
      <c r="E525" s="151"/>
      <c r="G525" s="151"/>
      <c r="I525" s="151"/>
    </row>
    <row r="526">
      <c r="E526" s="151"/>
      <c r="G526" s="151"/>
      <c r="I526" s="151"/>
    </row>
    <row r="527">
      <c r="E527" s="151"/>
      <c r="G527" s="151"/>
      <c r="I527" s="151"/>
    </row>
    <row r="528">
      <c r="E528" s="151"/>
      <c r="G528" s="151"/>
      <c r="I528" s="151"/>
    </row>
    <row r="529">
      <c r="E529" s="151"/>
      <c r="G529" s="151"/>
      <c r="I529" s="151"/>
    </row>
    <row r="530">
      <c r="E530" s="151"/>
      <c r="G530" s="151"/>
      <c r="I530" s="151"/>
    </row>
    <row r="531">
      <c r="E531" s="151"/>
      <c r="G531" s="151"/>
      <c r="I531" s="151"/>
    </row>
    <row r="532">
      <c r="E532" s="151"/>
      <c r="G532" s="151"/>
      <c r="I532" s="151"/>
    </row>
    <row r="533">
      <c r="E533" s="151"/>
      <c r="G533" s="151"/>
      <c r="I533" s="151"/>
    </row>
    <row r="534">
      <c r="E534" s="151"/>
      <c r="G534" s="151"/>
      <c r="I534" s="151"/>
    </row>
    <row r="535">
      <c r="E535" s="151"/>
      <c r="G535" s="151"/>
      <c r="I535" s="151"/>
    </row>
    <row r="536">
      <c r="E536" s="151"/>
      <c r="G536" s="151"/>
      <c r="I536" s="151"/>
    </row>
    <row r="537">
      <c r="E537" s="151"/>
      <c r="G537" s="151"/>
      <c r="I537" s="151"/>
    </row>
    <row r="538">
      <c r="E538" s="151"/>
      <c r="G538" s="151"/>
      <c r="I538" s="151"/>
    </row>
    <row r="539">
      <c r="E539" s="151"/>
      <c r="G539" s="151"/>
      <c r="I539" s="151"/>
    </row>
    <row r="540">
      <c r="E540" s="151"/>
      <c r="G540" s="151"/>
      <c r="I540" s="151"/>
    </row>
    <row r="541">
      <c r="E541" s="151"/>
      <c r="G541" s="151"/>
      <c r="I541" s="151"/>
    </row>
    <row r="542">
      <c r="E542" s="151"/>
      <c r="G542" s="151"/>
      <c r="I542" s="151"/>
    </row>
    <row r="543">
      <c r="E543" s="151"/>
      <c r="G543" s="151"/>
      <c r="I543" s="151"/>
    </row>
    <row r="544">
      <c r="E544" s="151"/>
      <c r="G544" s="151"/>
      <c r="I544" s="151"/>
    </row>
    <row r="545">
      <c r="E545" s="151"/>
      <c r="G545" s="151"/>
      <c r="I545" s="151"/>
    </row>
    <row r="546">
      <c r="E546" s="151"/>
      <c r="G546" s="151"/>
      <c r="I546" s="151"/>
    </row>
    <row r="547">
      <c r="E547" s="151"/>
      <c r="G547" s="151"/>
      <c r="I547" s="151"/>
    </row>
    <row r="548">
      <c r="E548" s="151"/>
      <c r="G548" s="151"/>
      <c r="I548" s="151"/>
    </row>
    <row r="549">
      <c r="E549" s="151"/>
      <c r="G549" s="151"/>
      <c r="I549" s="151"/>
    </row>
    <row r="550">
      <c r="E550" s="151"/>
      <c r="G550" s="151"/>
      <c r="I550" s="151"/>
    </row>
    <row r="551">
      <c r="E551" s="151"/>
      <c r="G551" s="151"/>
      <c r="I551" s="151"/>
    </row>
    <row r="552">
      <c r="E552" s="151"/>
      <c r="G552" s="151"/>
      <c r="I552" s="151"/>
    </row>
    <row r="553">
      <c r="E553" s="151"/>
      <c r="G553" s="151"/>
      <c r="I553" s="151"/>
    </row>
    <row r="554">
      <c r="E554" s="151"/>
      <c r="G554" s="151"/>
      <c r="I554" s="151"/>
    </row>
    <row r="555">
      <c r="E555" s="151"/>
      <c r="G555" s="151"/>
      <c r="I555" s="151"/>
    </row>
    <row r="556">
      <c r="E556" s="151"/>
      <c r="G556" s="151"/>
      <c r="I556" s="151"/>
    </row>
    <row r="557">
      <c r="E557" s="151"/>
      <c r="G557" s="151"/>
      <c r="I557" s="151"/>
    </row>
    <row r="558">
      <c r="E558" s="151"/>
      <c r="G558" s="151"/>
      <c r="I558" s="151"/>
    </row>
    <row r="559">
      <c r="E559" s="151"/>
      <c r="G559" s="151"/>
      <c r="I559" s="151"/>
    </row>
    <row r="560">
      <c r="E560" s="151"/>
      <c r="G560" s="151"/>
      <c r="I560" s="151"/>
    </row>
    <row r="561">
      <c r="E561" s="151"/>
      <c r="G561" s="151"/>
      <c r="I561" s="151"/>
    </row>
    <row r="562">
      <c r="E562" s="151"/>
      <c r="G562" s="151"/>
      <c r="I562" s="151"/>
    </row>
    <row r="563">
      <c r="E563" s="151"/>
      <c r="G563" s="151"/>
      <c r="I563" s="151"/>
    </row>
    <row r="564">
      <c r="E564" s="151"/>
      <c r="G564" s="151"/>
      <c r="I564" s="151"/>
    </row>
    <row r="565">
      <c r="E565" s="151"/>
      <c r="G565" s="151"/>
      <c r="I565" s="151"/>
    </row>
    <row r="566">
      <c r="E566" s="151"/>
      <c r="G566" s="151"/>
      <c r="I566" s="151"/>
    </row>
    <row r="567">
      <c r="E567" s="151"/>
      <c r="G567" s="151"/>
      <c r="I567" s="151"/>
    </row>
    <row r="568">
      <c r="E568" s="151"/>
      <c r="G568" s="151"/>
      <c r="I568" s="151"/>
    </row>
    <row r="569">
      <c r="E569" s="151"/>
      <c r="G569" s="151"/>
      <c r="I569" s="151"/>
    </row>
    <row r="570">
      <c r="E570" s="151"/>
      <c r="G570" s="151"/>
      <c r="I570" s="151"/>
    </row>
    <row r="571">
      <c r="E571" s="151"/>
      <c r="G571" s="151"/>
      <c r="I571" s="151"/>
    </row>
    <row r="572">
      <c r="E572" s="151"/>
      <c r="G572" s="151"/>
      <c r="I572" s="151"/>
    </row>
    <row r="573">
      <c r="E573" s="151"/>
      <c r="G573" s="151"/>
      <c r="I573" s="151"/>
    </row>
    <row r="574">
      <c r="E574" s="151"/>
      <c r="G574" s="151"/>
      <c r="I574" s="151"/>
    </row>
    <row r="575">
      <c r="E575" s="151"/>
      <c r="G575" s="151"/>
      <c r="I575" s="151"/>
    </row>
    <row r="576">
      <c r="E576" s="151"/>
      <c r="G576" s="151"/>
      <c r="I576" s="151"/>
    </row>
    <row r="577">
      <c r="E577" s="151"/>
      <c r="G577" s="151"/>
      <c r="I577" s="151"/>
    </row>
    <row r="578">
      <c r="E578" s="151"/>
      <c r="G578" s="151"/>
      <c r="I578" s="151"/>
    </row>
    <row r="579">
      <c r="E579" s="151"/>
      <c r="G579" s="151"/>
      <c r="I579" s="151"/>
    </row>
    <row r="580">
      <c r="E580" s="151"/>
      <c r="G580" s="151"/>
      <c r="I580" s="151"/>
    </row>
    <row r="581">
      <c r="E581" s="151"/>
      <c r="G581" s="151"/>
      <c r="I581" s="151"/>
    </row>
    <row r="582">
      <c r="E582" s="151"/>
      <c r="G582" s="151"/>
      <c r="I582" s="151"/>
    </row>
    <row r="583">
      <c r="E583" s="151"/>
      <c r="G583" s="151"/>
      <c r="I583" s="151"/>
    </row>
    <row r="584">
      <c r="E584" s="151"/>
      <c r="G584" s="151"/>
      <c r="I584" s="151"/>
    </row>
    <row r="585">
      <c r="E585" s="151"/>
      <c r="G585" s="151"/>
      <c r="I585" s="151"/>
    </row>
    <row r="586">
      <c r="E586" s="151"/>
      <c r="G586" s="151"/>
      <c r="I586" s="151"/>
    </row>
    <row r="587">
      <c r="E587" s="151"/>
      <c r="G587" s="151"/>
      <c r="I587" s="151"/>
    </row>
    <row r="588">
      <c r="E588" s="151"/>
      <c r="G588" s="151"/>
      <c r="I588" s="151"/>
    </row>
    <row r="589">
      <c r="E589" s="151"/>
      <c r="G589" s="151"/>
      <c r="I589" s="151"/>
    </row>
    <row r="590">
      <c r="E590" s="151"/>
      <c r="G590" s="151"/>
      <c r="I590" s="151"/>
    </row>
    <row r="591">
      <c r="E591" s="151"/>
      <c r="G591" s="151"/>
      <c r="I591" s="151"/>
    </row>
    <row r="592">
      <c r="E592" s="151"/>
      <c r="G592" s="151"/>
      <c r="I592" s="151"/>
    </row>
    <row r="593">
      <c r="E593" s="151"/>
      <c r="G593" s="151"/>
      <c r="I593" s="151"/>
    </row>
    <row r="594">
      <c r="E594" s="151"/>
      <c r="G594" s="151"/>
      <c r="I594" s="151"/>
    </row>
    <row r="595">
      <c r="E595" s="151"/>
      <c r="G595" s="151"/>
      <c r="I595" s="151"/>
    </row>
    <row r="596">
      <c r="E596" s="151"/>
      <c r="G596" s="151"/>
      <c r="I596" s="151"/>
    </row>
    <row r="597">
      <c r="E597" s="151"/>
      <c r="G597" s="151"/>
      <c r="I597" s="151"/>
    </row>
    <row r="598">
      <c r="E598" s="151"/>
      <c r="G598" s="151"/>
      <c r="I598" s="151"/>
    </row>
    <row r="599">
      <c r="E599" s="151"/>
      <c r="G599" s="151"/>
      <c r="I599" s="151"/>
    </row>
    <row r="600">
      <c r="E600" s="151"/>
      <c r="G600" s="151"/>
      <c r="I600" s="151"/>
    </row>
    <row r="601">
      <c r="E601" s="151"/>
      <c r="G601" s="151"/>
      <c r="I601" s="151"/>
    </row>
    <row r="602">
      <c r="E602" s="151"/>
      <c r="G602" s="151"/>
      <c r="I602" s="151"/>
    </row>
    <row r="603">
      <c r="E603" s="151"/>
      <c r="G603" s="151"/>
      <c r="I603" s="151"/>
    </row>
    <row r="604">
      <c r="E604" s="151"/>
      <c r="G604" s="151"/>
      <c r="I604" s="151"/>
    </row>
    <row r="605">
      <c r="E605" s="151"/>
      <c r="G605" s="151"/>
      <c r="I605" s="151"/>
    </row>
    <row r="606">
      <c r="E606" s="151"/>
      <c r="G606" s="151"/>
      <c r="I606" s="151"/>
    </row>
    <row r="607">
      <c r="E607" s="151"/>
      <c r="G607" s="151"/>
      <c r="I607" s="151"/>
    </row>
    <row r="608">
      <c r="E608" s="151"/>
      <c r="G608" s="151"/>
      <c r="I608" s="151"/>
    </row>
    <row r="609">
      <c r="E609" s="151"/>
      <c r="G609" s="151"/>
      <c r="I609" s="151"/>
    </row>
    <row r="610">
      <c r="E610" s="151"/>
      <c r="G610" s="151"/>
      <c r="I610" s="151"/>
    </row>
    <row r="611">
      <c r="E611" s="151"/>
      <c r="G611" s="151"/>
      <c r="I611" s="151"/>
    </row>
    <row r="612">
      <c r="E612" s="151"/>
      <c r="G612" s="151"/>
      <c r="I612" s="151"/>
    </row>
    <row r="613">
      <c r="E613" s="151"/>
      <c r="G613" s="151"/>
      <c r="I613" s="151"/>
    </row>
    <row r="614">
      <c r="E614" s="151"/>
      <c r="G614" s="151"/>
      <c r="I614" s="151"/>
    </row>
    <row r="615">
      <c r="E615" s="151"/>
      <c r="G615" s="151"/>
      <c r="I615" s="151"/>
    </row>
    <row r="616">
      <c r="E616" s="151"/>
      <c r="G616" s="151"/>
      <c r="I616" s="151"/>
    </row>
    <row r="617">
      <c r="E617" s="151"/>
      <c r="G617" s="151"/>
      <c r="I617" s="151"/>
    </row>
    <row r="618">
      <c r="E618" s="151"/>
      <c r="G618" s="151"/>
      <c r="I618" s="151"/>
    </row>
    <row r="619">
      <c r="E619" s="151"/>
      <c r="G619" s="151"/>
      <c r="I619" s="151"/>
    </row>
    <row r="620">
      <c r="E620" s="151"/>
      <c r="G620" s="151"/>
      <c r="I620" s="151"/>
    </row>
    <row r="621">
      <c r="E621" s="151"/>
      <c r="G621" s="151"/>
      <c r="I621" s="151"/>
    </row>
    <row r="622">
      <c r="E622" s="151"/>
      <c r="G622" s="151"/>
      <c r="I622" s="151"/>
    </row>
    <row r="623">
      <c r="E623" s="151"/>
      <c r="G623" s="151"/>
      <c r="I623" s="151"/>
    </row>
    <row r="624">
      <c r="E624" s="151"/>
      <c r="G624" s="151"/>
      <c r="I624" s="151"/>
    </row>
    <row r="625">
      <c r="E625" s="151"/>
      <c r="G625" s="151"/>
      <c r="I625" s="151"/>
    </row>
    <row r="626">
      <c r="E626" s="151"/>
      <c r="G626" s="151"/>
      <c r="I626" s="151"/>
    </row>
    <row r="627">
      <c r="E627" s="151"/>
      <c r="G627" s="151"/>
      <c r="I627" s="151"/>
    </row>
    <row r="628">
      <c r="E628" s="151"/>
      <c r="G628" s="151"/>
      <c r="I628" s="151"/>
    </row>
    <row r="629">
      <c r="E629" s="151"/>
      <c r="G629" s="151"/>
      <c r="I629" s="151"/>
    </row>
    <row r="630">
      <c r="E630" s="151"/>
      <c r="G630" s="151"/>
      <c r="I630" s="151"/>
    </row>
    <row r="631">
      <c r="E631" s="151"/>
      <c r="G631" s="151"/>
      <c r="I631" s="151"/>
    </row>
    <row r="632">
      <c r="E632" s="151"/>
      <c r="G632" s="151"/>
      <c r="I632" s="151"/>
    </row>
    <row r="633">
      <c r="E633" s="151"/>
      <c r="G633" s="151"/>
      <c r="I633" s="151"/>
    </row>
    <row r="634">
      <c r="E634" s="151"/>
      <c r="G634" s="151"/>
      <c r="I634" s="151"/>
    </row>
    <row r="635">
      <c r="E635" s="151"/>
      <c r="G635" s="151"/>
      <c r="I635" s="151"/>
    </row>
    <row r="636">
      <c r="E636" s="151"/>
      <c r="G636" s="151"/>
      <c r="I636" s="151"/>
    </row>
    <row r="637">
      <c r="E637" s="151"/>
      <c r="G637" s="151"/>
      <c r="I637" s="151"/>
    </row>
    <row r="638">
      <c r="E638" s="151"/>
      <c r="G638" s="151"/>
      <c r="I638" s="151"/>
    </row>
    <row r="639">
      <c r="E639" s="151"/>
      <c r="G639" s="151"/>
      <c r="I639" s="151"/>
    </row>
    <row r="640">
      <c r="E640" s="151"/>
      <c r="G640" s="151"/>
      <c r="I640" s="151"/>
    </row>
    <row r="641">
      <c r="E641" s="151"/>
      <c r="G641" s="151"/>
      <c r="I641" s="151"/>
    </row>
    <row r="642">
      <c r="E642" s="151"/>
      <c r="G642" s="151"/>
      <c r="I642" s="151"/>
    </row>
    <row r="643">
      <c r="E643" s="151"/>
      <c r="G643" s="151"/>
      <c r="I643" s="151"/>
    </row>
    <row r="644">
      <c r="E644" s="151"/>
      <c r="G644" s="151"/>
      <c r="I644" s="151"/>
    </row>
    <row r="645">
      <c r="E645" s="151"/>
      <c r="G645" s="151"/>
      <c r="I645" s="151"/>
    </row>
    <row r="646">
      <c r="E646" s="151"/>
      <c r="G646" s="151"/>
      <c r="I646" s="151"/>
    </row>
    <row r="647">
      <c r="E647" s="151"/>
      <c r="G647" s="151"/>
      <c r="I647" s="151"/>
    </row>
    <row r="648">
      <c r="E648" s="151"/>
      <c r="G648" s="151"/>
      <c r="I648" s="151"/>
    </row>
    <row r="649">
      <c r="E649" s="151"/>
      <c r="G649" s="151"/>
      <c r="I649" s="151"/>
    </row>
    <row r="650">
      <c r="E650" s="151"/>
      <c r="G650" s="151"/>
      <c r="I650" s="151"/>
    </row>
    <row r="651">
      <c r="E651" s="151"/>
      <c r="G651" s="151"/>
      <c r="I651" s="151"/>
    </row>
    <row r="652">
      <c r="E652" s="151"/>
      <c r="G652" s="151"/>
      <c r="I652" s="151"/>
    </row>
    <row r="653">
      <c r="E653" s="151"/>
      <c r="G653" s="151"/>
      <c r="I653" s="151"/>
    </row>
    <row r="654">
      <c r="E654" s="151"/>
      <c r="G654" s="151"/>
      <c r="I654" s="151"/>
    </row>
    <row r="655">
      <c r="E655" s="151"/>
      <c r="G655" s="151"/>
      <c r="I655" s="151"/>
    </row>
    <row r="656">
      <c r="E656" s="151"/>
      <c r="G656" s="151"/>
      <c r="I656" s="151"/>
    </row>
    <row r="657">
      <c r="E657" s="151"/>
      <c r="G657" s="151"/>
      <c r="I657" s="151"/>
    </row>
    <row r="658">
      <c r="E658" s="151"/>
      <c r="G658" s="151"/>
      <c r="I658" s="151"/>
    </row>
    <row r="659">
      <c r="E659" s="151"/>
      <c r="G659" s="151"/>
      <c r="I659" s="151"/>
    </row>
    <row r="660">
      <c r="E660" s="151"/>
      <c r="G660" s="151"/>
      <c r="I660" s="151"/>
    </row>
    <row r="661">
      <c r="E661" s="151"/>
      <c r="G661" s="151"/>
      <c r="I661" s="151"/>
    </row>
    <row r="662">
      <c r="E662" s="151"/>
      <c r="G662" s="151"/>
      <c r="I662" s="151"/>
    </row>
    <row r="663">
      <c r="E663" s="151"/>
      <c r="G663" s="151"/>
      <c r="I663" s="151"/>
    </row>
    <row r="664">
      <c r="E664" s="151"/>
      <c r="G664" s="151"/>
      <c r="I664" s="151"/>
    </row>
    <row r="665">
      <c r="E665" s="151"/>
      <c r="G665" s="151"/>
      <c r="I665" s="151"/>
    </row>
    <row r="666">
      <c r="E666" s="151"/>
      <c r="G666" s="151"/>
      <c r="I666" s="151"/>
    </row>
    <row r="667">
      <c r="E667" s="151"/>
      <c r="G667" s="151"/>
      <c r="I667" s="151"/>
    </row>
    <row r="668">
      <c r="E668" s="151"/>
      <c r="G668" s="151"/>
      <c r="I668" s="151"/>
    </row>
    <row r="669">
      <c r="E669" s="151"/>
      <c r="G669" s="151"/>
      <c r="I669" s="151"/>
    </row>
    <row r="670">
      <c r="E670" s="151"/>
      <c r="G670" s="151"/>
      <c r="I670" s="151"/>
    </row>
    <row r="671">
      <c r="E671" s="151"/>
      <c r="G671" s="151"/>
      <c r="I671" s="151"/>
    </row>
    <row r="672">
      <c r="E672" s="151"/>
      <c r="G672" s="151"/>
      <c r="I672" s="151"/>
    </row>
    <row r="673">
      <c r="E673" s="151"/>
      <c r="G673" s="151"/>
      <c r="I673" s="151"/>
    </row>
    <row r="674">
      <c r="E674" s="151"/>
      <c r="G674" s="151"/>
      <c r="I674" s="151"/>
    </row>
    <row r="675">
      <c r="E675" s="151"/>
      <c r="G675" s="151"/>
      <c r="I675" s="151"/>
    </row>
    <row r="676">
      <c r="E676" s="151"/>
      <c r="G676" s="151"/>
      <c r="I676" s="151"/>
    </row>
    <row r="677">
      <c r="E677" s="151"/>
      <c r="G677" s="151"/>
      <c r="I677" s="151"/>
    </row>
    <row r="678">
      <c r="E678" s="151"/>
      <c r="G678" s="151"/>
      <c r="I678" s="151"/>
    </row>
    <row r="679">
      <c r="E679" s="151"/>
      <c r="G679" s="151"/>
      <c r="I679" s="151"/>
    </row>
    <row r="680">
      <c r="E680" s="151"/>
      <c r="G680" s="151"/>
      <c r="I680" s="151"/>
    </row>
    <row r="681">
      <c r="E681" s="151"/>
      <c r="G681" s="151"/>
      <c r="I681" s="151"/>
    </row>
    <row r="682">
      <c r="E682" s="151"/>
      <c r="G682" s="151"/>
      <c r="I682" s="151"/>
    </row>
    <row r="683">
      <c r="E683" s="151"/>
      <c r="G683" s="151"/>
      <c r="I683" s="151"/>
    </row>
    <row r="684">
      <c r="E684" s="151"/>
      <c r="G684" s="151"/>
      <c r="I684" s="151"/>
    </row>
    <row r="685">
      <c r="E685" s="151"/>
      <c r="G685" s="151"/>
      <c r="I685" s="151"/>
    </row>
    <row r="686">
      <c r="E686" s="151"/>
      <c r="G686" s="151"/>
      <c r="I686" s="151"/>
    </row>
    <row r="687">
      <c r="E687" s="151"/>
      <c r="G687" s="151"/>
      <c r="I687" s="151"/>
    </row>
    <row r="688">
      <c r="E688" s="151"/>
      <c r="G688" s="151"/>
      <c r="I688" s="151"/>
    </row>
    <row r="689">
      <c r="E689" s="151"/>
      <c r="G689" s="151"/>
      <c r="I689" s="151"/>
    </row>
    <row r="690">
      <c r="E690" s="151"/>
      <c r="G690" s="151"/>
      <c r="I690" s="151"/>
    </row>
    <row r="691">
      <c r="E691" s="151"/>
      <c r="G691" s="151"/>
      <c r="I691" s="151"/>
    </row>
    <row r="692">
      <c r="E692" s="151"/>
      <c r="G692" s="151"/>
      <c r="I692" s="151"/>
    </row>
    <row r="693">
      <c r="E693" s="151"/>
      <c r="G693" s="151"/>
      <c r="I693" s="151"/>
    </row>
    <row r="694">
      <c r="E694" s="151"/>
      <c r="G694" s="151"/>
      <c r="I694" s="151"/>
    </row>
    <row r="695">
      <c r="E695" s="151"/>
      <c r="G695" s="151"/>
      <c r="I695" s="151"/>
    </row>
    <row r="696">
      <c r="E696" s="151"/>
      <c r="G696" s="151"/>
      <c r="I696" s="151"/>
    </row>
    <row r="697">
      <c r="E697" s="151"/>
      <c r="G697" s="151"/>
      <c r="I697" s="151"/>
    </row>
    <row r="698">
      <c r="E698" s="151"/>
      <c r="G698" s="151"/>
      <c r="I698" s="151"/>
    </row>
    <row r="699">
      <c r="E699" s="151"/>
      <c r="G699" s="151"/>
      <c r="I699" s="151"/>
    </row>
    <row r="700">
      <c r="E700" s="151"/>
      <c r="G700" s="151"/>
      <c r="I700" s="151"/>
    </row>
    <row r="701">
      <c r="E701" s="151"/>
      <c r="G701" s="151"/>
      <c r="I701" s="151"/>
    </row>
    <row r="702">
      <c r="E702" s="151"/>
      <c r="G702" s="151"/>
      <c r="I702" s="151"/>
    </row>
    <row r="703">
      <c r="E703" s="151"/>
      <c r="G703" s="151"/>
      <c r="I703" s="151"/>
    </row>
    <row r="704">
      <c r="E704" s="151"/>
      <c r="G704" s="151"/>
      <c r="I704" s="151"/>
    </row>
    <row r="705">
      <c r="E705" s="151"/>
      <c r="G705" s="151"/>
      <c r="I705" s="151"/>
    </row>
    <row r="706">
      <c r="E706" s="151"/>
      <c r="G706" s="151"/>
      <c r="I706" s="151"/>
    </row>
    <row r="707">
      <c r="E707" s="151"/>
      <c r="G707" s="151"/>
      <c r="I707" s="151"/>
    </row>
    <row r="708">
      <c r="E708" s="151"/>
      <c r="G708" s="151"/>
      <c r="I708" s="151"/>
    </row>
    <row r="709">
      <c r="E709" s="151"/>
      <c r="G709" s="151"/>
      <c r="I709" s="151"/>
    </row>
    <row r="710">
      <c r="E710" s="151"/>
      <c r="G710" s="151"/>
      <c r="I710" s="151"/>
    </row>
    <row r="711">
      <c r="E711" s="151"/>
      <c r="G711" s="151"/>
      <c r="I711" s="151"/>
    </row>
    <row r="712">
      <c r="E712" s="151"/>
      <c r="G712" s="151"/>
      <c r="I712" s="151"/>
    </row>
    <row r="713">
      <c r="E713" s="151"/>
      <c r="G713" s="151"/>
      <c r="I713" s="151"/>
    </row>
    <row r="714">
      <c r="E714" s="151"/>
      <c r="G714" s="151"/>
      <c r="I714" s="151"/>
    </row>
    <row r="715">
      <c r="E715" s="151"/>
      <c r="G715" s="151"/>
      <c r="I715" s="151"/>
    </row>
    <row r="716">
      <c r="E716" s="151"/>
      <c r="G716" s="151"/>
      <c r="I716" s="151"/>
    </row>
    <row r="717">
      <c r="E717" s="151"/>
      <c r="G717" s="151"/>
      <c r="I717" s="151"/>
    </row>
    <row r="718">
      <c r="E718" s="151"/>
      <c r="G718" s="151"/>
      <c r="I718" s="151"/>
    </row>
    <row r="719">
      <c r="E719" s="151"/>
      <c r="G719" s="151"/>
      <c r="I719" s="151"/>
    </row>
    <row r="720">
      <c r="E720" s="151"/>
      <c r="G720" s="151"/>
      <c r="I720" s="151"/>
    </row>
    <row r="721">
      <c r="E721" s="151"/>
      <c r="G721" s="151"/>
      <c r="I721" s="151"/>
    </row>
    <row r="722">
      <c r="E722" s="151"/>
      <c r="G722" s="151"/>
      <c r="I722" s="151"/>
    </row>
    <row r="723">
      <c r="E723" s="151"/>
      <c r="G723" s="151"/>
      <c r="I723" s="151"/>
    </row>
    <row r="724">
      <c r="E724" s="151"/>
      <c r="G724" s="151"/>
      <c r="I724" s="151"/>
    </row>
    <row r="725">
      <c r="E725" s="151"/>
      <c r="G725" s="151"/>
      <c r="I725" s="151"/>
    </row>
    <row r="726">
      <c r="E726" s="151"/>
      <c r="G726" s="151"/>
      <c r="I726" s="151"/>
    </row>
    <row r="727">
      <c r="E727" s="151"/>
      <c r="G727" s="151"/>
      <c r="I727" s="151"/>
    </row>
    <row r="728">
      <c r="E728" s="151"/>
      <c r="G728" s="151"/>
      <c r="I728" s="151"/>
    </row>
    <row r="729">
      <c r="E729" s="151"/>
      <c r="G729" s="151"/>
      <c r="I729" s="151"/>
    </row>
    <row r="730">
      <c r="E730" s="151"/>
      <c r="G730" s="151"/>
      <c r="I730" s="151"/>
    </row>
    <row r="731">
      <c r="E731" s="151"/>
      <c r="G731" s="151"/>
      <c r="I731" s="151"/>
    </row>
    <row r="732">
      <c r="E732" s="151"/>
      <c r="G732" s="151"/>
      <c r="I732" s="151"/>
    </row>
    <row r="733">
      <c r="E733" s="151"/>
      <c r="G733" s="151"/>
      <c r="I733" s="151"/>
    </row>
    <row r="734">
      <c r="E734" s="151"/>
      <c r="G734" s="151"/>
      <c r="I734" s="151"/>
    </row>
    <row r="735">
      <c r="E735" s="151"/>
      <c r="G735" s="151"/>
      <c r="I735" s="151"/>
    </row>
    <row r="736">
      <c r="E736" s="151"/>
      <c r="G736" s="151"/>
      <c r="I736" s="151"/>
    </row>
    <row r="737">
      <c r="E737" s="151"/>
      <c r="G737" s="151"/>
      <c r="I737" s="151"/>
    </row>
    <row r="738">
      <c r="E738" s="151"/>
      <c r="G738" s="151"/>
      <c r="I738" s="151"/>
    </row>
    <row r="739">
      <c r="E739" s="151"/>
      <c r="G739" s="151"/>
      <c r="I739" s="151"/>
    </row>
    <row r="740">
      <c r="E740" s="151"/>
      <c r="G740" s="151"/>
      <c r="I740" s="151"/>
    </row>
    <row r="741">
      <c r="E741" s="151"/>
      <c r="G741" s="151"/>
      <c r="I741" s="151"/>
    </row>
    <row r="742">
      <c r="E742" s="151"/>
      <c r="G742" s="151"/>
      <c r="I742" s="151"/>
    </row>
    <row r="743">
      <c r="E743" s="151"/>
      <c r="G743" s="151"/>
      <c r="I743" s="151"/>
    </row>
    <row r="744">
      <c r="E744" s="151"/>
      <c r="G744" s="151"/>
      <c r="I744" s="151"/>
    </row>
    <row r="745">
      <c r="E745" s="151"/>
      <c r="G745" s="151"/>
      <c r="I745" s="151"/>
    </row>
    <row r="746">
      <c r="E746" s="151"/>
      <c r="G746" s="151"/>
      <c r="I746" s="151"/>
    </row>
    <row r="747">
      <c r="E747" s="151"/>
      <c r="G747" s="151"/>
      <c r="I747" s="151"/>
    </row>
    <row r="748">
      <c r="E748" s="151"/>
      <c r="G748" s="151"/>
      <c r="I748" s="151"/>
    </row>
    <row r="749">
      <c r="E749" s="151"/>
      <c r="G749" s="151"/>
      <c r="I749" s="151"/>
    </row>
    <row r="750">
      <c r="E750" s="151"/>
      <c r="G750" s="151"/>
      <c r="I750" s="151"/>
    </row>
    <row r="751">
      <c r="E751" s="151"/>
      <c r="G751" s="151"/>
      <c r="I751" s="151"/>
    </row>
    <row r="752">
      <c r="E752" s="151"/>
      <c r="G752" s="151"/>
      <c r="I752" s="151"/>
    </row>
    <row r="753">
      <c r="E753" s="151"/>
      <c r="G753" s="151"/>
      <c r="I753" s="151"/>
    </row>
    <row r="754">
      <c r="E754" s="151"/>
      <c r="G754" s="151"/>
      <c r="I754" s="151"/>
    </row>
    <row r="755">
      <c r="E755" s="151"/>
      <c r="G755" s="151"/>
      <c r="I755" s="151"/>
    </row>
    <row r="756">
      <c r="E756" s="151"/>
      <c r="G756" s="151"/>
      <c r="I756" s="151"/>
    </row>
    <row r="757">
      <c r="E757" s="151"/>
      <c r="G757" s="151"/>
      <c r="I757" s="151"/>
    </row>
    <row r="758">
      <c r="E758" s="151"/>
      <c r="G758" s="151"/>
      <c r="I758" s="151"/>
    </row>
    <row r="759">
      <c r="E759" s="151"/>
      <c r="G759" s="151"/>
      <c r="I759" s="151"/>
    </row>
    <row r="760">
      <c r="E760" s="151"/>
      <c r="G760" s="151"/>
      <c r="I760" s="151"/>
    </row>
    <row r="761">
      <c r="E761" s="151"/>
      <c r="G761" s="151"/>
      <c r="I761" s="151"/>
    </row>
    <row r="762">
      <c r="E762" s="151"/>
      <c r="G762" s="151"/>
      <c r="I762" s="151"/>
    </row>
    <row r="763">
      <c r="E763" s="151"/>
      <c r="G763" s="151"/>
      <c r="I763" s="151"/>
    </row>
    <row r="764">
      <c r="E764" s="151"/>
      <c r="G764" s="151"/>
      <c r="I764" s="151"/>
    </row>
    <row r="765">
      <c r="E765" s="151"/>
      <c r="G765" s="151"/>
      <c r="I765" s="151"/>
    </row>
    <row r="766">
      <c r="E766" s="151"/>
      <c r="G766" s="151"/>
      <c r="I766" s="151"/>
    </row>
    <row r="767">
      <c r="E767" s="151"/>
      <c r="G767" s="151"/>
      <c r="I767" s="151"/>
    </row>
    <row r="768">
      <c r="E768" s="151"/>
      <c r="G768" s="151"/>
      <c r="I768" s="151"/>
    </row>
    <row r="769">
      <c r="E769" s="151"/>
      <c r="G769" s="151"/>
      <c r="I769" s="151"/>
    </row>
    <row r="770">
      <c r="E770" s="151"/>
      <c r="G770" s="151"/>
      <c r="I770" s="151"/>
    </row>
    <row r="771">
      <c r="E771" s="151"/>
      <c r="G771" s="151"/>
      <c r="I771" s="151"/>
    </row>
    <row r="772">
      <c r="E772" s="151"/>
      <c r="G772" s="151"/>
      <c r="I772" s="151"/>
    </row>
    <row r="773">
      <c r="E773" s="151"/>
      <c r="G773" s="151"/>
      <c r="I773" s="151"/>
    </row>
    <row r="774">
      <c r="E774" s="151"/>
      <c r="G774" s="151"/>
      <c r="I774" s="151"/>
    </row>
    <row r="775">
      <c r="E775" s="151"/>
      <c r="G775" s="151"/>
      <c r="I775" s="151"/>
    </row>
    <row r="776">
      <c r="E776" s="151"/>
      <c r="G776" s="151"/>
      <c r="I776" s="151"/>
    </row>
    <row r="777">
      <c r="E777" s="151"/>
      <c r="G777" s="151"/>
      <c r="I777" s="151"/>
    </row>
    <row r="778">
      <c r="E778" s="151"/>
      <c r="G778" s="151"/>
      <c r="I778" s="151"/>
    </row>
    <row r="779">
      <c r="E779" s="151"/>
      <c r="G779" s="151"/>
      <c r="I779" s="151"/>
    </row>
    <row r="780">
      <c r="E780" s="151"/>
      <c r="G780" s="151"/>
      <c r="I780" s="151"/>
    </row>
    <row r="781">
      <c r="E781" s="151"/>
      <c r="G781" s="151"/>
      <c r="I781" s="151"/>
    </row>
    <row r="782">
      <c r="E782" s="151"/>
      <c r="G782" s="151"/>
      <c r="I782" s="151"/>
    </row>
    <row r="783">
      <c r="E783" s="151"/>
      <c r="G783" s="151"/>
      <c r="I783" s="151"/>
    </row>
    <row r="784">
      <c r="E784" s="151"/>
      <c r="G784" s="151"/>
      <c r="I784" s="151"/>
    </row>
    <row r="785">
      <c r="E785" s="151"/>
      <c r="G785" s="151"/>
      <c r="I785" s="151"/>
    </row>
    <row r="786">
      <c r="E786" s="151"/>
      <c r="G786" s="151"/>
      <c r="I786" s="151"/>
    </row>
    <row r="787">
      <c r="E787" s="151"/>
      <c r="G787" s="151"/>
      <c r="I787" s="151"/>
    </row>
    <row r="788">
      <c r="E788" s="151"/>
      <c r="G788" s="151"/>
      <c r="I788" s="151"/>
    </row>
    <row r="789">
      <c r="E789" s="151"/>
      <c r="G789" s="151"/>
      <c r="I789" s="151"/>
    </row>
    <row r="790">
      <c r="E790" s="151"/>
      <c r="G790" s="151"/>
      <c r="I790" s="151"/>
    </row>
    <row r="791">
      <c r="E791" s="151"/>
      <c r="G791" s="151"/>
      <c r="I791" s="151"/>
    </row>
    <row r="792">
      <c r="E792" s="151"/>
      <c r="G792" s="151"/>
      <c r="I792" s="151"/>
    </row>
    <row r="793">
      <c r="E793" s="151"/>
      <c r="G793" s="151"/>
      <c r="I793" s="151"/>
    </row>
    <row r="794">
      <c r="E794" s="151"/>
      <c r="G794" s="151"/>
      <c r="I794" s="151"/>
    </row>
    <row r="795">
      <c r="E795" s="151"/>
      <c r="G795" s="151"/>
      <c r="I795" s="151"/>
    </row>
    <row r="796">
      <c r="E796" s="151"/>
      <c r="G796" s="151"/>
      <c r="I796" s="151"/>
    </row>
    <row r="797">
      <c r="E797" s="151"/>
      <c r="G797" s="151"/>
      <c r="I797" s="151"/>
    </row>
    <row r="798">
      <c r="E798" s="151"/>
      <c r="G798" s="151"/>
      <c r="I798" s="151"/>
    </row>
    <row r="799">
      <c r="E799" s="151"/>
      <c r="G799" s="151"/>
      <c r="I799" s="151"/>
    </row>
    <row r="800">
      <c r="E800" s="151"/>
      <c r="G800" s="151"/>
      <c r="I800" s="151"/>
    </row>
    <row r="801">
      <c r="E801" s="151"/>
      <c r="G801" s="151"/>
      <c r="I801" s="151"/>
    </row>
    <row r="802">
      <c r="E802" s="151"/>
      <c r="G802" s="151"/>
      <c r="I802" s="151"/>
    </row>
    <row r="803">
      <c r="E803" s="151"/>
      <c r="G803" s="151"/>
      <c r="I803" s="151"/>
    </row>
    <row r="804">
      <c r="E804" s="151"/>
      <c r="G804" s="151"/>
      <c r="I804" s="151"/>
    </row>
    <row r="805">
      <c r="E805" s="151"/>
      <c r="G805" s="151"/>
      <c r="I805" s="151"/>
    </row>
    <row r="806">
      <c r="E806" s="151"/>
      <c r="G806" s="151"/>
      <c r="I806" s="151"/>
    </row>
    <row r="807">
      <c r="E807" s="151"/>
      <c r="G807" s="151"/>
      <c r="I807" s="151"/>
    </row>
    <row r="808">
      <c r="E808" s="151"/>
      <c r="G808" s="151"/>
      <c r="I808" s="151"/>
    </row>
    <row r="809">
      <c r="E809" s="151"/>
      <c r="G809" s="151"/>
      <c r="I809" s="151"/>
    </row>
    <row r="810">
      <c r="E810" s="151"/>
      <c r="G810" s="151"/>
      <c r="I810" s="151"/>
    </row>
    <row r="811">
      <c r="E811" s="151"/>
      <c r="G811" s="151"/>
      <c r="I811" s="151"/>
    </row>
    <row r="812">
      <c r="E812" s="151"/>
      <c r="G812" s="151"/>
      <c r="I812" s="151"/>
    </row>
    <row r="813">
      <c r="E813" s="151"/>
      <c r="G813" s="151"/>
      <c r="I813" s="151"/>
    </row>
    <row r="814">
      <c r="E814" s="151"/>
      <c r="G814" s="151"/>
      <c r="I814" s="151"/>
    </row>
    <row r="815">
      <c r="E815" s="151"/>
      <c r="G815" s="151"/>
      <c r="I815" s="151"/>
    </row>
    <row r="816">
      <c r="E816" s="151"/>
      <c r="G816" s="151"/>
      <c r="I816" s="151"/>
    </row>
    <row r="817">
      <c r="E817" s="151"/>
      <c r="G817" s="151"/>
      <c r="I817" s="151"/>
    </row>
    <row r="818">
      <c r="E818" s="151"/>
      <c r="G818" s="151"/>
      <c r="I818" s="151"/>
    </row>
    <row r="819">
      <c r="E819" s="151"/>
      <c r="G819" s="151"/>
      <c r="I819" s="151"/>
    </row>
    <row r="820">
      <c r="E820" s="151"/>
      <c r="G820" s="151"/>
      <c r="I820" s="151"/>
    </row>
    <row r="821">
      <c r="E821" s="151"/>
      <c r="G821" s="151"/>
      <c r="I821" s="151"/>
    </row>
    <row r="822">
      <c r="E822" s="151"/>
      <c r="G822" s="151"/>
      <c r="I822" s="151"/>
    </row>
    <row r="823">
      <c r="E823" s="151"/>
      <c r="G823" s="151"/>
      <c r="I823" s="151"/>
    </row>
    <row r="824">
      <c r="E824" s="151"/>
      <c r="G824" s="151"/>
      <c r="I824" s="151"/>
    </row>
    <row r="825">
      <c r="E825" s="151"/>
      <c r="G825" s="151"/>
      <c r="I825" s="151"/>
    </row>
    <row r="826">
      <c r="E826" s="151"/>
      <c r="G826" s="151"/>
      <c r="I826" s="151"/>
    </row>
    <row r="827">
      <c r="E827" s="151"/>
      <c r="G827" s="151"/>
      <c r="I827" s="151"/>
    </row>
    <row r="828">
      <c r="E828" s="151"/>
      <c r="G828" s="151"/>
      <c r="I828" s="151"/>
    </row>
    <row r="829">
      <c r="E829" s="151"/>
      <c r="G829" s="151"/>
      <c r="I829" s="151"/>
    </row>
    <row r="830">
      <c r="E830" s="151"/>
      <c r="G830" s="151"/>
      <c r="I830" s="151"/>
    </row>
    <row r="831">
      <c r="E831" s="151"/>
      <c r="G831" s="151"/>
      <c r="I831" s="151"/>
    </row>
    <row r="832">
      <c r="E832" s="151"/>
      <c r="G832" s="151"/>
      <c r="I832" s="151"/>
    </row>
    <row r="833">
      <c r="E833" s="151"/>
      <c r="G833" s="151"/>
      <c r="I833" s="151"/>
    </row>
    <row r="834">
      <c r="E834" s="151"/>
      <c r="G834" s="151"/>
      <c r="I834" s="151"/>
    </row>
    <row r="835">
      <c r="E835" s="151"/>
      <c r="G835" s="151"/>
      <c r="I835" s="151"/>
    </row>
    <row r="836">
      <c r="E836" s="151"/>
      <c r="G836" s="151"/>
      <c r="I836" s="151"/>
    </row>
    <row r="837">
      <c r="E837" s="151"/>
      <c r="G837" s="151"/>
      <c r="I837" s="151"/>
    </row>
    <row r="838">
      <c r="E838" s="151"/>
      <c r="G838" s="151"/>
      <c r="I838" s="151"/>
    </row>
    <row r="839">
      <c r="E839" s="151"/>
      <c r="G839" s="151"/>
      <c r="I839" s="151"/>
    </row>
    <row r="840">
      <c r="E840" s="151"/>
      <c r="G840" s="151"/>
      <c r="I840" s="151"/>
    </row>
    <row r="841">
      <c r="E841" s="151"/>
      <c r="G841" s="151"/>
      <c r="I841" s="151"/>
    </row>
    <row r="842">
      <c r="E842" s="151"/>
      <c r="G842" s="151"/>
      <c r="I842" s="151"/>
    </row>
    <row r="843">
      <c r="E843" s="151"/>
      <c r="G843" s="151"/>
      <c r="I843" s="151"/>
    </row>
    <row r="844">
      <c r="E844" s="151"/>
      <c r="G844" s="151"/>
      <c r="I844" s="151"/>
    </row>
    <row r="845">
      <c r="E845" s="151"/>
      <c r="G845" s="151"/>
      <c r="I845" s="151"/>
    </row>
    <row r="846">
      <c r="E846" s="151"/>
      <c r="G846" s="151"/>
      <c r="I846" s="151"/>
    </row>
    <row r="847">
      <c r="E847" s="151"/>
      <c r="G847" s="151"/>
      <c r="I847" s="151"/>
    </row>
    <row r="848">
      <c r="E848" s="151"/>
      <c r="G848" s="151"/>
      <c r="I848" s="151"/>
    </row>
    <row r="849">
      <c r="E849" s="151"/>
      <c r="G849" s="151"/>
      <c r="I849" s="151"/>
    </row>
    <row r="850">
      <c r="E850" s="151"/>
      <c r="G850" s="151"/>
      <c r="I850" s="151"/>
    </row>
    <row r="851">
      <c r="E851" s="151"/>
      <c r="G851" s="151"/>
      <c r="I851" s="151"/>
    </row>
    <row r="852">
      <c r="E852" s="151"/>
      <c r="G852" s="151"/>
      <c r="I852" s="151"/>
    </row>
    <row r="853">
      <c r="E853" s="151"/>
      <c r="G853" s="151"/>
      <c r="I853" s="151"/>
    </row>
    <row r="854">
      <c r="E854" s="151"/>
      <c r="G854" s="151"/>
      <c r="I854" s="151"/>
    </row>
    <row r="855">
      <c r="E855" s="151"/>
      <c r="G855" s="151"/>
      <c r="I855" s="151"/>
    </row>
    <row r="856">
      <c r="E856" s="151"/>
      <c r="G856" s="151"/>
      <c r="I856" s="151"/>
    </row>
    <row r="857">
      <c r="E857" s="151"/>
      <c r="G857" s="151"/>
      <c r="I857" s="151"/>
    </row>
    <row r="858">
      <c r="E858" s="151"/>
      <c r="G858" s="151"/>
      <c r="I858" s="151"/>
    </row>
    <row r="859">
      <c r="E859" s="151"/>
      <c r="G859" s="151"/>
      <c r="I859" s="151"/>
    </row>
    <row r="860">
      <c r="E860" s="151"/>
      <c r="G860" s="151"/>
      <c r="I860" s="151"/>
    </row>
    <row r="861">
      <c r="E861" s="151"/>
      <c r="G861" s="151"/>
      <c r="I861" s="151"/>
    </row>
    <row r="862">
      <c r="E862" s="151"/>
      <c r="G862" s="151"/>
      <c r="I862" s="151"/>
    </row>
    <row r="863">
      <c r="E863" s="151"/>
      <c r="G863" s="151"/>
      <c r="I863" s="151"/>
    </row>
    <row r="864">
      <c r="E864" s="151"/>
      <c r="G864" s="151"/>
      <c r="I864" s="151"/>
    </row>
    <row r="865">
      <c r="E865" s="151"/>
      <c r="G865" s="151"/>
      <c r="I865" s="151"/>
    </row>
    <row r="866">
      <c r="E866" s="151"/>
      <c r="G866" s="151"/>
      <c r="I866" s="151"/>
    </row>
    <row r="867">
      <c r="E867" s="151"/>
      <c r="G867" s="151"/>
      <c r="I867" s="151"/>
    </row>
    <row r="868">
      <c r="E868" s="151"/>
      <c r="G868" s="151"/>
      <c r="I868" s="151"/>
    </row>
    <row r="869">
      <c r="E869" s="151"/>
      <c r="G869" s="151"/>
      <c r="I869" s="151"/>
    </row>
    <row r="870">
      <c r="E870" s="151"/>
      <c r="G870" s="151"/>
      <c r="I870" s="151"/>
    </row>
    <row r="871">
      <c r="E871" s="151"/>
      <c r="G871" s="151"/>
      <c r="I871" s="151"/>
    </row>
    <row r="872">
      <c r="E872" s="151"/>
      <c r="G872" s="151"/>
      <c r="I872" s="151"/>
    </row>
    <row r="873">
      <c r="E873" s="151"/>
      <c r="G873" s="151"/>
      <c r="I873" s="151"/>
    </row>
    <row r="874">
      <c r="E874" s="151"/>
      <c r="G874" s="151"/>
      <c r="I874" s="151"/>
    </row>
    <row r="875">
      <c r="E875" s="151"/>
      <c r="G875" s="151"/>
      <c r="I875" s="151"/>
    </row>
    <row r="876">
      <c r="E876" s="151"/>
      <c r="G876" s="151"/>
      <c r="I876" s="151"/>
    </row>
    <row r="877">
      <c r="E877" s="151"/>
      <c r="G877" s="151"/>
      <c r="I877" s="151"/>
    </row>
    <row r="878">
      <c r="E878" s="151"/>
      <c r="G878" s="151"/>
      <c r="I878" s="151"/>
    </row>
    <row r="879">
      <c r="E879" s="151"/>
      <c r="G879" s="151"/>
      <c r="I879" s="151"/>
    </row>
    <row r="880">
      <c r="E880" s="151"/>
      <c r="G880" s="151"/>
      <c r="I880" s="151"/>
    </row>
    <row r="881">
      <c r="E881" s="151"/>
      <c r="G881" s="151"/>
      <c r="I881" s="151"/>
    </row>
    <row r="882">
      <c r="E882" s="151"/>
      <c r="G882" s="151"/>
      <c r="I882" s="151"/>
    </row>
    <row r="883">
      <c r="E883" s="151"/>
      <c r="G883" s="151"/>
      <c r="I883" s="151"/>
    </row>
    <row r="884">
      <c r="E884" s="151"/>
      <c r="G884" s="151"/>
      <c r="I884" s="151"/>
    </row>
    <row r="885">
      <c r="E885" s="151"/>
      <c r="G885" s="151"/>
      <c r="I885" s="151"/>
    </row>
    <row r="886">
      <c r="E886" s="151"/>
      <c r="G886" s="151"/>
      <c r="I886" s="151"/>
    </row>
    <row r="887">
      <c r="E887" s="151"/>
      <c r="G887" s="151"/>
      <c r="I887" s="151"/>
    </row>
    <row r="888">
      <c r="E888" s="151"/>
      <c r="G888" s="151"/>
      <c r="I888" s="151"/>
    </row>
    <row r="889">
      <c r="E889" s="151"/>
      <c r="G889" s="151"/>
      <c r="I889" s="151"/>
    </row>
    <row r="890">
      <c r="E890" s="151"/>
      <c r="G890" s="151"/>
      <c r="I890" s="151"/>
    </row>
    <row r="891">
      <c r="E891" s="151"/>
      <c r="G891" s="151"/>
      <c r="I891" s="151"/>
    </row>
    <row r="892">
      <c r="E892" s="151"/>
      <c r="G892" s="151"/>
      <c r="I892" s="151"/>
    </row>
    <row r="893">
      <c r="E893" s="151"/>
      <c r="G893" s="151"/>
      <c r="I893" s="151"/>
    </row>
    <row r="894">
      <c r="E894" s="151"/>
      <c r="G894" s="151"/>
      <c r="I894" s="151"/>
    </row>
    <row r="895">
      <c r="E895" s="151"/>
      <c r="G895" s="151"/>
      <c r="I895" s="151"/>
    </row>
    <row r="896">
      <c r="E896" s="151"/>
      <c r="G896" s="151"/>
      <c r="I896" s="151"/>
    </row>
    <row r="897">
      <c r="E897" s="151"/>
      <c r="G897" s="151"/>
      <c r="I897" s="151"/>
    </row>
    <row r="898">
      <c r="E898" s="151"/>
      <c r="G898" s="151"/>
      <c r="I898" s="151"/>
    </row>
    <row r="899">
      <c r="E899" s="151"/>
      <c r="G899" s="151"/>
      <c r="I899" s="151"/>
    </row>
    <row r="900">
      <c r="E900" s="151"/>
      <c r="G900" s="151"/>
      <c r="I900" s="151"/>
    </row>
    <row r="901">
      <c r="E901" s="151"/>
      <c r="G901" s="151"/>
      <c r="I901" s="151"/>
    </row>
    <row r="902">
      <c r="E902" s="151"/>
      <c r="G902" s="151"/>
      <c r="I902" s="151"/>
    </row>
    <row r="903">
      <c r="E903" s="151"/>
      <c r="G903" s="151"/>
      <c r="I903" s="151"/>
    </row>
    <row r="904">
      <c r="E904" s="151"/>
      <c r="G904" s="151"/>
      <c r="I904" s="151"/>
    </row>
    <row r="905">
      <c r="E905" s="151"/>
      <c r="G905" s="151"/>
      <c r="I905" s="151"/>
    </row>
    <row r="906">
      <c r="E906" s="151"/>
      <c r="G906" s="151"/>
      <c r="I906" s="151"/>
    </row>
    <row r="907">
      <c r="E907" s="151"/>
      <c r="G907" s="151"/>
      <c r="I907" s="151"/>
    </row>
    <row r="908">
      <c r="E908" s="151"/>
      <c r="G908" s="151"/>
      <c r="I908" s="151"/>
    </row>
    <row r="909">
      <c r="E909" s="151"/>
      <c r="G909" s="151"/>
      <c r="I909" s="151"/>
    </row>
    <row r="910">
      <c r="E910" s="151"/>
      <c r="G910" s="151"/>
      <c r="I910" s="151"/>
    </row>
    <row r="911">
      <c r="E911" s="151"/>
      <c r="G911" s="151"/>
      <c r="I911" s="151"/>
    </row>
    <row r="912">
      <c r="E912" s="151"/>
      <c r="G912" s="151"/>
      <c r="I912" s="151"/>
    </row>
    <row r="913">
      <c r="E913" s="151"/>
      <c r="G913" s="151"/>
      <c r="I913" s="151"/>
    </row>
    <row r="914">
      <c r="E914" s="151"/>
      <c r="G914" s="151"/>
      <c r="I914" s="151"/>
    </row>
    <row r="915">
      <c r="E915" s="151"/>
      <c r="G915" s="151"/>
      <c r="I915" s="151"/>
    </row>
    <row r="916">
      <c r="E916" s="151"/>
      <c r="G916" s="151"/>
      <c r="I916" s="151"/>
    </row>
    <row r="917">
      <c r="E917" s="151"/>
      <c r="G917" s="151"/>
      <c r="I917" s="151"/>
    </row>
    <row r="918">
      <c r="E918" s="151"/>
      <c r="G918" s="151"/>
      <c r="I918" s="151"/>
    </row>
    <row r="919">
      <c r="E919" s="151"/>
      <c r="G919" s="151"/>
      <c r="I919" s="151"/>
    </row>
    <row r="920">
      <c r="E920" s="151"/>
      <c r="G920" s="151"/>
      <c r="I920" s="151"/>
    </row>
    <row r="921">
      <c r="E921" s="151"/>
      <c r="G921" s="151"/>
      <c r="I921" s="151"/>
    </row>
    <row r="922">
      <c r="E922" s="151"/>
      <c r="G922" s="151"/>
      <c r="I922" s="151"/>
    </row>
    <row r="923">
      <c r="E923" s="151"/>
      <c r="G923" s="151"/>
      <c r="I923" s="151"/>
    </row>
    <row r="924">
      <c r="E924" s="151"/>
      <c r="G924" s="151"/>
      <c r="I924" s="151"/>
    </row>
    <row r="925">
      <c r="E925" s="151"/>
      <c r="G925" s="151"/>
      <c r="I925" s="151"/>
    </row>
    <row r="926">
      <c r="E926" s="151"/>
      <c r="G926" s="151"/>
      <c r="I926" s="151"/>
    </row>
    <row r="927">
      <c r="E927" s="151"/>
      <c r="G927" s="151"/>
      <c r="I927" s="151"/>
    </row>
    <row r="928">
      <c r="E928" s="151"/>
      <c r="G928" s="151"/>
      <c r="I928" s="151"/>
    </row>
    <row r="929">
      <c r="E929" s="151"/>
      <c r="G929" s="151"/>
      <c r="I929" s="151"/>
    </row>
    <row r="930">
      <c r="E930" s="151"/>
      <c r="G930" s="151"/>
      <c r="I930" s="151"/>
    </row>
    <row r="931">
      <c r="E931" s="151"/>
      <c r="G931" s="151"/>
      <c r="I931" s="151"/>
    </row>
    <row r="932">
      <c r="E932" s="151"/>
      <c r="G932" s="151"/>
      <c r="I932" s="151"/>
    </row>
    <row r="933">
      <c r="E933" s="151"/>
      <c r="G933" s="151"/>
      <c r="I933" s="151"/>
    </row>
    <row r="934">
      <c r="E934" s="151"/>
      <c r="G934" s="151"/>
      <c r="I934" s="151"/>
    </row>
    <row r="935">
      <c r="E935" s="151"/>
      <c r="G935" s="151"/>
      <c r="I935" s="151"/>
    </row>
    <row r="936">
      <c r="E936" s="151"/>
      <c r="G936" s="151"/>
      <c r="I936" s="151"/>
    </row>
    <row r="937">
      <c r="E937" s="151"/>
      <c r="G937" s="151"/>
      <c r="I937" s="151"/>
    </row>
    <row r="938">
      <c r="E938" s="151"/>
      <c r="G938" s="151"/>
      <c r="I938" s="151"/>
    </row>
    <row r="939">
      <c r="E939" s="151"/>
      <c r="G939" s="151"/>
      <c r="I939" s="151"/>
    </row>
    <row r="940">
      <c r="E940" s="151"/>
      <c r="G940" s="151"/>
      <c r="I940" s="151"/>
    </row>
    <row r="941">
      <c r="E941" s="151"/>
      <c r="G941" s="151"/>
      <c r="I941" s="151"/>
    </row>
    <row r="942">
      <c r="E942" s="151"/>
      <c r="G942" s="151"/>
      <c r="I942" s="151"/>
    </row>
    <row r="943">
      <c r="E943" s="151"/>
      <c r="G943" s="151"/>
      <c r="I943" s="151"/>
    </row>
    <row r="944">
      <c r="E944" s="151"/>
      <c r="G944" s="151"/>
      <c r="I944" s="151"/>
    </row>
    <row r="945">
      <c r="E945" s="151"/>
      <c r="G945" s="151"/>
      <c r="I945" s="151"/>
    </row>
    <row r="946">
      <c r="E946" s="151"/>
      <c r="G946" s="151"/>
      <c r="I946" s="151"/>
    </row>
    <row r="947">
      <c r="E947" s="151"/>
      <c r="G947" s="151"/>
      <c r="I947" s="151"/>
    </row>
    <row r="948">
      <c r="E948" s="151"/>
      <c r="G948" s="151"/>
      <c r="I948" s="151"/>
    </row>
    <row r="949">
      <c r="E949" s="151"/>
      <c r="G949" s="151"/>
      <c r="I949" s="151"/>
    </row>
    <row r="950">
      <c r="E950" s="151"/>
      <c r="G950" s="151"/>
      <c r="I950" s="151"/>
    </row>
    <row r="951">
      <c r="E951" s="151"/>
      <c r="G951" s="151"/>
      <c r="I951" s="151"/>
    </row>
    <row r="952">
      <c r="E952" s="151"/>
      <c r="G952" s="151"/>
      <c r="I952" s="151"/>
    </row>
    <row r="953">
      <c r="E953" s="151"/>
      <c r="G953" s="151"/>
      <c r="I953" s="151"/>
    </row>
    <row r="954">
      <c r="E954" s="151"/>
      <c r="G954" s="151"/>
      <c r="I954" s="151"/>
    </row>
    <row r="955">
      <c r="E955" s="151"/>
      <c r="G955" s="151"/>
      <c r="I955" s="151"/>
    </row>
    <row r="956">
      <c r="E956" s="151"/>
      <c r="G956" s="151"/>
      <c r="I956" s="151"/>
    </row>
    <row r="957">
      <c r="E957" s="151"/>
      <c r="G957" s="151"/>
      <c r="I957" s="151"/>
    </row>
    <row r="958">
      <c r="E958" s="151"/>
      <c r="G958" s="151"/>
      <c r="I958" s="151"/>
    </row>
    <row r="959">
      <c r="E959" s="151"/>
      <c r="G959" s="151"/>
      <c r="I959" s="151"/>
    </row>
    <row r="960">
      <c r="E960" s="151"/>
      <c r="G960" s="151"/>
      <c r="I960" s="151"/>
    </row>
    <row r="961">
      <c r="E961" s="151"/>
      <c r="G961" s="151"/>
      <c r="I961" s="151"/>
    </row>
    <row r="962">
      <c r="E962" s="151"/>
      <c r="G962" s="151"/>
      <c r="I962" s="151"/>
    </row>
    <row r="963">
      <c r="E963" s="151"/>
      <c r="G963" s="151"/>
      <c r="I963" s="151"/>
    </row>
    <row r="964">
      <c r="E964" s="151"/>
      <c r="G964" s="151"/>
      <c r="I964" s="151"/>
    </row>
    <row r="965">
      <c r="E965" s="151"/>
      <c r="G965" s="151"/>
      <c r="I965" s="151"/>
    </row>
    <row r="966">
      <c r="E966" s="151"/>
      <c r="G966" s="151"/>
      <c r="I966" s="151"/>
    </row>
    <row r="967">
      <c r="E967" s="151"/>
      <c r="G967" s="151"/>
      <c r="I967" s="151"/>
    </row>
    <row r="968">
      <c r="E968" s="151"/>
      <c r="G968" s="151"/>
      <c r="I968" s="151"/>
    </row>
    <row r="969">
      <c r="E969" s="151"/>
      <c r="G969" s="151"/>
      <c r="I969" s="151"/>
    </row>
    <row r="970">
      <c r="E970" s="151"/>
      <c r="G970" s="151"/>
      <c r="I970" s="151"/>
    </row>
    <row r="971">
      <c r="E971" s="151"/>
      <c r="G971" s="151"/>
      <c r="I971" s="151"/>
    </row>
    <row r="972">
      <c r="E972" s="151"/>
      <c r="G972" s="151"/>
      <c r="I972" s="151"/>
    </row>
    <row r="973">
      <c r="E973" s="151"/>
      <c r="G973" s="151"/>
      <c r="I973" s="151"/>
    </row>
    <row r="974">
      <c r="E974" s="151"/>
      <c r="G974" s="151"/>
      <c r="I974" s="151"/>
    </row>
    <row r="975">
      <c r="E975" s="151"/>
      <c r="G975" s="151"/>
      <c r="I975" s="151"/>
    </row>
    <row r="976">
      <c r="E976" s="151"/>
      <c r="G976" s="151"/>
      <c r="I976" s="151"/>
    </row>
    <row r="977">
      <c r="E977" s="151"/>
      <c r="G977" s="151"/>
      <c r="I977" s="151"/>
    </row>
    <row r="978">
      <c r="E978" s="151"/>
      <c r="G978" s="151"/>
      <c r="I978" s="151"/>
    </row>
    <row r="979">
      <c r="E979" s="151"/>
      <c r="G979" s="151"/>
      <c r="I979" s="151"/>
    </row>
    <row r="980">
      <c r="E980" s="151"/>
      <c r="G980" s="151"/>
      <c r="I980" s="151"/>
    </row>
    <row r="981">
      <c r="E981" s="151"/>
      <c r="G981" s="151"/>
      <c r="I981" s="151"/>
    </row>
    <row r="982">
      <c r="E982" s="151"/>
      <c r="G982" s="151"/>
      <c r="I982" s="151"/>
    </row>
    <row r="983">
      <c r="E983" s="151"/>
      <c r="G983" s="151"/>
      <c r="I983" s="151"/>
    </row>
    <row r="984">
      <c r="E984" s="151"/>
      <c r="G984" s="151"/>
      <c r="I984" s="151"/>
    </row>
    <row r="985">
      <c r="E985" s="151"/>
      <c r="G985" s="151"/>
      <c r="I985" s="151"/>
    </row>
    <row r="986">
      <c r="E986" s="151"/>
      <c r="G986" s="151"/>
      <c r="I986" s="151"/>
    </row>
    <row r="987">
      <c r="E987" s="151"/>
      <c r="G987" s="151"/>
      <c r="I987" s="151"/>
    </row>
    <row r="988">
      <c r="E988" s="151"/>
      <c r="G988" s="151"/>
      <c r="I988" s="151"/>
    </row>
    <row r="989">
      <c r="E989" s="151"/>
      <c r="G989" s="151"/>
      <c r="I989" s="151"/>
    </row>
    <row r="990">
      <c r="E990" s="151"/>
      <c r="G990" s="151"/>
      <c r="I990" s="151"/>
    </row>
    <row r="991">
      <c r="E991" s="151"/>
      <c r="G991" s="151"/>
      <c r="I991" s="151"/>
    </row>
    <row r="992">
      <c r="E992" s="151"/>
      <c r="G992" s="151"/>
      <c r="I992" s="151"/>
    </row>
    <row r="993">
      <c r="E993" s="151"/>
      <c r="G993" s="151"/>
      <c r="I993" s="151"/>
    </row>
    <row r="994">
      <c r="E994" s="151"/>
      <c r="G994" s="151"/>
      <c r="I994" s="151"/>
    </row>
    <row r="995">
      <c r="E995" s="151"/>
      <c r="G995" s="151"/>
      <c r="I995" s="151"/>
    </row>
    <row r="996">
      <c r="E996" s="151"/>
      <c r="G996" s="151"/>
      <c r="I996" s="151"/>
    </row>
    <row r="997">
      <c r="E997" s="151"/>
      <c r="G997" s="151"/>
      <c r="I997" s="151"/>
    </row>
    <row r="998">
      <c r="E998" s="151"/>
      <c r="G998" s="151"/>
      <c r="I998" s="151"/>
    </row>
    <row r="999">
      <c r="E999" s="151"/>
      <c r="G999" s="151"/>
      <c r="I999" s="151"/>
    </row>
    <row r="1000">
      <c r="E1000" s="151"/>
      <c r="G1000" s="151"/>
      <c r="I1000" s="151"/>
    </row>
    <row r="1001">
      <c r="E1001" s="151"/>
      <c r="G1001" s="151"/>
      <c r="I1001" s="151"/>
    </row>
    <row r="1002">
      <c r="E1002" s="151"/>
      <c r="G1002" s="151"/>
      <c r="I1002" s="151"/>
    </row>
    <row r="1003">
      <c r="E1003" s="151"/>
      <c r="G1003" s="151"/>
      <c r="I1003" s="151"/>
    </row>
    <row r="1004">
      <c r="E1004" s="151"/>
      <c r="G1004" s="151"/>
      <c r="I1004" s="151"/>
    </row>
    <row r="1005">
      <c r="E1005" s="151"/>
      <c r="G1005" s="151"/>
      <c r="I1005" s="151"/>
    </row>
    <row r="1006">
      <c r="E1006" s="151"/>
      <c r="G1006" s="151"/>
      <c r="I1006" s="151"/>
    </row>
    <row r="1007">
      <c r="E1007" s="151"/>
      <c r="G1007" s="151"/>
      <c r="I1007" s="151"/>
    </row>
    <row r="1008">
      <c r="E1008" s="151"/>
      <c r="G1008" s="151"/>
      <c r="I1008" s="151"/>
    </row>
    <row r="1009">
      <c r="E1009" s="151"/>
      <c r="G1009" s="151"/>
      <c r="I1009" s="151"/>
    </row>
    <row r="1010">
      <c r="E1010" s="151"/>
      <c r="G1010" s="151"/>
      <c r="I1010" s="151"/>
    </row>
    <row r="1011">
      <c r="E1011" s="151"/>
      <c r="G1011" s="151"/>
      <c r="I1011" s="151"/>
    </row>
    <row r="1012">
      <c r="E1012" s="151"/>
      <c r="G1012" s="151"/>
      <c r="I1012" s="151"/>
    </row>
    <row r="1013">
      <c r="E1013" s="151"/>
      <c r="G1013" s="151"/>
      <c r="I1013" s="151"/>
    </row>
    <row r="1014">
      <c r="E1014" s="151"/>
      <c r="G1014" s="151"/>
      <c r="I1014" s="151"/>
    </row>
    <row r="1015">
      <c r="E1015" s="151"/>
      <c r="G1015" s="151"/>
      <c r="I1015" s="151"/>
    </row>
  </sheetData>
  <mergeCells count="24">
    <mergeCell ref="G4:G5"/>
    <mergeCell ref="H4:H5"/>
    <mergeCell ref="B1:H2"/>
    <mergeCell ref="B3:B5"/>
    <mergeCell ref="D3:D5"/>
    <mergeCell ref="E3:I3"/>
    <mergeCell ref="E4:E5"/>
    <mergeCell ref="F4:F5"/>
    <mergeCell ref="I4:I5"/>
    <mergeCell ref="C56:C142"/>
    <mergeCell ref="C145:C149"/>
    <mergeCell ref="C152:C154"/>
    <mergeCell ref="C157:C174"/>
    <mergeCell ref="C180:C181"/>
    <mergeCell ref="C186:C190"/>
    <mergeCell ref="C193:C197"/>
    <mergeCell ref="C200:C218"/>
    <mergeCell ref="C3:C5"/>
    <mergeCell ref="C7:C8"/>
    <mergeCell ref="C11:C12"/>
    <mergeCell ref="C15:C17"/>
    <mergeCell ref="C20:C34"/>
    <mergeCell ref="C37:C45"/>
    <mergeCell ref="C48:C5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7.25"/>
    <col customWidth="1" min="7" max="7" width="15.13"/>
    <col customWidth="1" min="8" max="8" width="14.88"/>
    <col customWidth="1" min="19" max="19" width="11.25"/>
  </cols>
  <sheetData>
    <row r="1">
      <c r="S1" s="152"/>
    </row>
    <row r="2">
      <c r="A2" s="153"/>
      <c r="B2" s="154" t="s">
        <v>258</v>
      </c>
      <c r="C2" s="154" t="s">
        <v>257</v>
      </c>
      <c r="D2" s="155" t="s">
        <v>38</v>
      </c>
      <c r="E2" s="155" t="s">
        <v>150</v>
      </c>
      <c r="F2" s="154" t="s">
        <v>187</v>
      </c>
      <c r="G2" s="154" t="s">
        <v>200</v>
      </c>
      <c r="H2" s="155" t="s">
        <v>290</v>
      </c>
      <c r="I2" s="153"/>
      <c r="J2" s="60" t="s">
        <v>258</v>
      </c>
      <c r="K2" s="60" t="s">
        <v>257</v>
      </c>
      <c r="L2" s="20" t="s">
        <v>38</v>
      </c>
      <c r="M2" s="20" t="s">
        <v>150</v>
      </c>
      <c r="N2" s="60" t="s">
        <v>187</v>
      </c>
      <c r="O2" s="60" t="s">
        <v>200</v>
      </c>
      <c r="P2" s="20" t="s">
        <v>290</v>
      </c>
      <c r="Q2" s="153"/>
      <c r="R2" s="153"/>
      <c r="S2" s="152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153"/>
      <c r="AJ2" s="153"/>
    </row>
    <row r="3">
      <c r="B3" s="121">
        <v>12896.0</v>
      </c>
      <c r="C3" s="121">
        <v>8115.0</v>
      </c>
      <c r="D3" s="121">
        <v>1882.0</v>
      </c>
      <c r="E3" s="121">
        <v>3383.0</v>
      </c>
      <c r="F3" s="121">
        <v>2454.0</v>
      </c>
      <c r="G3" s="121">
        <v>3581.0</v>
      </c>
      <c r="H3" s="121">
        <v>4412.0</v>
      </c>
      <c r="I3" s="156"/>
      <c r="J3" s="157">
        <v>32292.0</v>
      </c>
      <c r="K3" s="157">
        <v>27000.0</v>
      </c>
      <c r="L3" s="157">
        <v>19375.0</v>
      </c>
      <c r="M3" s="157">
        <v>24757.0</v>
      </c>
      <c r="N3" s="157">
        <v>51667.0</v>
      </c>
      <c r="O3" s="157">
        <v>21528.0</v>
      </c>
      <c r="P3" s="157">
        <v>24757.0</v>
      </c>
      <c r="S3" s="158" t="s">
        <v>402</v>
      </c>
    </row>
    <row r="4">
      <c r="B4" s="138">
        <v>10569.0</v>
      </c>
      <c r="C4" s="122">
        <v>7744.0</v>
      </c>
      <c r="D4" s="122">
        <v>1847.0</v>
      </c>
      <c r="E4" s="122">
        <v>3187.0</v>
      </c>
      <c r="F4" s="121">
        <v>2513.0</v>
      </c>
      <c r="G4" s="122">
        <v>3555.0</v>
      </c>
      <c r="H4" s="121">
        <v>4294.0</v>
      </c>
      <c r="I4" s="156"/>
      <c r="J4" s="159">
        <v>34292.0</v>
      </c>
      <c r="K4" s="86">
        <v>77501.0</v>
      </c>
      <c r="L4" s="86">
        <v>61400.0</v>
      </c>
      <c r="M4" s="86">
        <v>56834.0</v>
      </c>
      <c r="N4" s="157">
        <v>51980.0</v>
      </c>
      <c r="O4" s="86">
        <v>42000.0</v>
      </c>
      <c r="P4" s="157">
        <v>17222.0</v>
      </c>
      <c r="R4" s="119">
        <v>2021.0</v>
      </c>
      <c r="S4" s="47"/>
    </row>
    <row r="5">
      <c r="B5" s="121">
        <v>10798.0</v>
      </c>
      <c r="C5" s="122">
        <v>7085.0</v>
      </c>
      <c r="D5" s="122">
        <v>1838.0</v>
      </c>
      <c r="E5" s="122">
        <v>3185.0</v>
      </c>
      <c r="F5" s="121">
        <v>2402.0</v>
      </c>
      <c r="G5" s="122">
        <v>3528.0</v>
      </c>
      <c r="H5" s="121">
        <v>4239.0</v>
      </c>
      <c r="I5" s="156"/>
      <c r="J5" s="157">
        <v>37700.0</v>
      </c>
      <c r="K5" s="86">
        <v>85500.0</v>
      </c>
      <c r="L5" s="86">
        <v>67600.0</v>
      </c>
      <c r="M5" s="86">
        <v>59300.0</v>
      </c>
      <c r="N5" s="157">
        <v>52100.0</v>
      </c>
      <c r="O5" s="86">
        <v>49700.0</v>
      </c>
      <c r="P5" s="157">
        <v>59300.0</v>
      </c>
      <c r="R5" s="50"/>
      <c r="S5" s="50"/>
    </row>
    <row r="6">
      <c r="B6" s="121">
        <v>14985.0</v>
      </c>
      <c r="C6" s="122">
        <v>8714.0</v>
      </c>
      <c r="D6" s="122">
        <v>1888.0</v>
      </c>
      <c r="E6" s="122">
        <v>3270.0</v>
      </c>
      <c r="F6" s="121">
        <v>2762.0</v>
      </c>
      <c r="G6" s="122">
        <v>3553.0</v>
      </c>
      <c r="H6" s="121">
        <v>4446.0</v>
      </c>
      <c r="I6" s="156"/>
      <c r="J6" s="157">
        <v>74800.0</v>
      </c>
      <c r="K6" s="86">
        <v>112000.0</v>
      </c>
      <c r="L6" s="86">
        <v>74300.0</v>
      </c>
      <c r="M6" s="86">
        <v>95790.0</v>
      </c>
      <c r="N6" s="157">
        <v>59500.0</v>
      </c>
      <c r="O6" s="86">
        <v>63000.0</v>
      </c>
      <c r="P6" s="157">
        <v>95790.0</v>
      </c>
      <c r="R6" s="122">
        <v>13134.0</v>
      </c>
      <c r="S6" s="56">
        <f> -11017484 + 5491*2021 - 0.45*R6 </f>
        <v>73916.7</v>
      </c>
      <c r="T6" s="157">
        <v>68540.0</v>
      </c>
      <c r="U6" s="160">
        <f t="shared" ref="U6:U8" si="1">(T6-S6)/T6</f>
        <v>-0.07844616282</v>
      </c>
      <c r="V6" s="161">
        <f t="shared" ref="V6:V8" si="2">ABS(U6)</f>
        <v>0.07844616282</v>
      </c>
    </row>
    <row r="7">
      <c r="B7" s="121">
        <v>16302.0</v>
      </c>
      <c r="C7" s="122">
        <v>9240.0</v>
      </c>
      <c r="D7" s="122">
        <v>1892.0</v>
      </c>
      <c r="E7" s="122">
        <v>3263.0</v>
      </c>
      <c r="F7" s="121">
        <v>2767.0</v>
      </c>
      <c r="G7" s="122">
        <v>3571.0</v>
      </c>
      <c r="H7" s="121">
        <v>4453.0</v>
      </c>
      <c r="I7" s="156"/>
      <c r="R7" s="121">
        <v>17778.0</v>
      </c>
      <c r="S7" s="56">
        <f> -9226455 + 4594*2021 + 0.62*R7</f>
        <v>69041.36</v>
      </c>
      <c r="T7" s="162">
        <v>70300.0</v>
      </c>
      <c r="U7" s="160">
        <f t="shared" si="1"/>
        <v>0.01790384068</v>
      </c>
      <c r="V7" s="161">
        <f t="shared" si="2"/>
        <v>0.01790384068</v>
      </c>
    </row>
    <row r="8">
      <c r="R8" s="122">
        <v>11516.0</v>
      </c>
      <c r="S8" s="56">
        <f> -2214256 + 1110*2021 - 0.283*R8</f>
        <v>25794.972</v>
      </c>
      <c r="T8" s="163">
        <v>25300.0</v>
      </c>
      <c r="U8" s="160">
        <f t="shared" si="1"/>
        <v>-0.01956411067</v>
      </c>
      <c r="V8" s="161">
        <f t="shared" si="2"/>
        <v>0.01956411067</v>
      </c>
    </row>
    <row r="9">
      <c r="R9" s="128"/>
      <c r="S9" s="164"/>
      <c r="T9" s="128"/>
      <c r="U9" s="128"/>
      <c r="V9" s="128"/>
    </row>
    <row r="10">
      <c r="A10" s="153"/>
      <c r="B10" s="154" t="s">
        <v>324</v>
      </c>
      <c r="C10" s="155" t="s">
        <v>293</v>
      </c>
      <c r="D10" s="154" t="s">
        <v>272</v>
      </c>
      <c r="E10" s="154" t="s">
        <v>184</v>
      </c>
      <c r="F10" s="155" t="s">
        <v>43</v>
      </c>
      <c r="G10" s="154" t="s">
        <v>263</v>
      </c>
      <c r="H10" s="155" t="s">
        <v>265</v>
      </c>
      <c r="I10" s="153"/>
      <c r="J10" s="60" t="s">
        <v>324</v>
      </c>
      <c r="K10" s="20" t="s">
        <v>293</v>
      </c>
      <c r="L10" s="60" t="s">
        <v>272</v>
      </c>
      <c r="M10" s="60" t="s">
        <v>184</v>
      </c>
      <c r="N10" s="20" t="s">
        <v>43</v>
      </c>
      <c r="O10" s="60" t="s">
        <v>263</v>
      </c>
      <c r="P10" s="20" t="s">
        <v>265</v>
      </c>
      <c r="Q10" s="153"/>
      <c r="R10" s="122">
        <v>32915.0</v>
      </c>
      <c r="S10" s="56">
        <f> -5108216 + 2561*2021 - 0.75*R10</f>
        <v>42878.75</v>
      </c>
      <c r="T10" s="163">
        <v>40000.0</v>
      </c>
      <c r="U10" s="160">
        <f t="shared" ref="U10:U12" si="3">(T10-S10)/T10</f>
        <v>-0.07196875</v>
      </c>
      <c r="V10" s="161">
        <f t="shared" ref="V10:V12" si="4">ABS(U10)</f>
        <v>0.07196875</v>
      </c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</row>
    <row r="11">
      <c r="B11" s="121">
        <v>4541.0</v>
      </c>
      <c r="C11" s="121">
        <v>4004.0</v>
      </c>
      <c r="D11" s="121">
        <v>4169.0</v>
      </c>
      <c r="E11" s="121">
        <v>5764.0</v>
      </c>
      <c r="F11" s="121">
        <v>4803.0</v>
      </c>
      <c r="G11" s="121">
        <v>3273.0</v>
      </c>
      <c r="H11" s="121">
        <v>8952.0</v>
      </c>
      <c r="J11" s="157">
        <v>10764.0</v>
      </c>
      <c r="K11" s="157">
        <v>24757.0</v>
      </c>
      <c r="L11" s="157">
        <v>31215.0</v>
      </c>
      <c r="M11" s="157">
        <v>31215.0</v>
      </c>
      <c r="N11" s="157">
        <v>69966.0</v>
      </c>
      <c r="O11" s="157">
        <v>37674.0</v>
      </c>
      <c r="P11" s="157">
        <v>43056.0</v>
      </c>
      <c r="R11" s="122">
        <v>65801.0</v>
      </c>
      <c r="S11" s="56">
        <f> -21960294 + 10935*2021 -0.521*R11</f>
        <v>105058.679</v>
      </c>
      <c r="T11" s="86">
        <v>102000.0</v>
      </c>
      <c r="U11" s="160">
        <f t="shared" si="3"/>
        <v>-0.02998704902</v>
      </c>
      <c r="V11" s="161">
        <f t="shared" si="4"/>
        <v>0.02998704902</v>
      </c>
    </row>
    <row r="12">
      <c r="B12" s="121">
        <v>4860.0</v>
      </c>
      <c r="C12" s="122">
        <v>4046.0</v>
      </c>
      <c r="D12" s="121">
        <v>3978.0</v>
      </c>
      <c r="E12" s="121">
        <v>5665.0</v>
      </c>
      <c r="F12" s="122">
        <v>4319.0</v>
      </c>
      <c r="G12" s="121">
        <v>3111.0</v>
      </c>
      <c r="H12" s="121">
        <v>7266.0</v>
      </c>
      <c r="J12" s="157">
        <v>17222.0</v>
      </c>
      <c r="K12" s="86">
        <v>57049.0</v>
      </c>
      <c r="L12" s="157">
        <v>77960.0</v>
      </c>
      <c r="M12" s="157">
        <v>35750.0</v>
      </c>
      <c r="N12" s="86">
        <v>94700.0</v>
      </c>
      <c r="O12" s="157">
        <v>37674.0</v>
      </c>
      <c r="P12" s="157">
        <v>75500.0</v>
      </c>
      <c r="R12" s="121">
        <v>16509.0</v>
      </c>
      <c r="S12" s="56">
        <f> -6752639 + 3366*2021 + 0.29*R12</f>
        <v>54834.61</v>
      </c>
      <c r="T12" s="157">
        <v>54600.0</v>
      </c>
      <c r="U12" s="160">
        <f t="shared" si="3"/>
        <v>-0.004296886447</v>
      </c>
      <c r="V12" s="161">
        <f t="shared" si="4"/>
        <v>0.004296886447</v>
      </c>
    </row>
    <row r="13">
      <c r="B13" s="121">
        <v>4452.0</v>
      </c>
      <c r="C13" s="121">
        <v>3603.0</v>
      </c>
      <c r="D13" s="121">
        <v>3824.0</v>
      </c>
      <c r="E13" s="121">
        <v>5434.0</v>
      </c>
      <c r="F13" s="122">
        <v>4238.0</v>
      </c>
      <c r="G13" s="121">
        <v>2961.0</v>
      </c>
      <c r="H13" s="121">
        <v>7681.0</v>
      </c>
      <c r="J13" s="157">
        <v>28400.0</v>
      </c>
      <c r="K13" s="157">
        <v>59300.0</v>
      </c>
      <c r="L13" s="157">
        <v>107700.0</v>
      </c>
      <c r="M13" s="157">
        <v>41400.0</v>
      </c>
      <c r="N13" s="86">
        <v>106100.0</v>
      </c>
      <c r="O13" s="157">
        <v>49000.0</v>
      </c>
      <c r="P13" s="157">
        <v>86150.0</v>
      </c>
      <c r="R13" s="134"/>
      <c r="S13" s="164"/>
      <c r="T13" s="134"/>
      <c r="U13" s="134"/>
      <c r="V13" s="134"/>
    </row>
    <row r="14">
      <c r="B14" s="121">
        <v>5143.0</v>
      </c>
      <c r="C14" s="121">
        <v>3948.0</v>
      </c>
      <c r="D14" s="121">
        <v>4168.0</v>
      </c>
      <c r="E14" s="121">
        <v>5786.0</v>
      </c>
      <c r="F14" s="122">
        <v>5354.0</v>
      </c>
      <c r="G14" s="121">
        <v>3173.0</v>
      </c>
      <c r="H14" s="121">
        <v>10237.0</v>
      </c>
      <c r="J14" s="157">
        <v>39300.0</v>
      </c>
      <c r="K14" s="157">
        <v>62000.0</v>
      </c>
      <c r="L14" s="157">
        <v>155040.0</v>
      </c>
      <c r="M14" s="157">
        <v>50000.0</v>
      </c>
      <c r="N14" s="86">
        <v>127300.0</v>
      </c>
      <c r="O14" s="157">
        <v>58760.0</v>
      </c>
      <c r="P14" s="157">
        <v>142200.0</v>
      </c>
      <c r="R14" s="121">
        <v>24733.0</v>
      </c>
      <c r="S14" s="56">
        <f> -4479848 + 2223*2021 + 0.884*R14</f>
        <v>34698.972</v>
      </c>
      <c r="T14" s="157">
        <v>35000.0</v>
      </c>
      <c r="U14" s="160">
        <f t="shared" ref="U14:U17" si="5">(T14-S14)/T14</f>
        <v>0.0086008</v>
      </c>
      <c r="V14" s="161">
        <f t="shared" ref="V14:V17" si="6">ABS(U14)</f>
        <v>0.0086008</v>
      </c>
    </row>
    <row r="15">
      <c r="B15" s="121">
        <v>5202.0</v>
      </c>
      <c r="C15" s="121">
        <v>3942.0</v>
      </c>
      <c r="D15" s="121">
        <v>4250.0</v>
      </c>
      <c r="E15" s="121">
        <v>5864.0</v>
      </c>
      <c r="F15" s="122">
        <v>5560.0</v>
      </c>
      <c r="G15" s="121">
        <v>3193.0</v>
      </c>
      <c r="H15" s="121">
        <v>12208.0</v>
      </c>
      <c r="R15" s="121">
        <v>8611.0</v>
      </c>
      <c r="S15" s="56">
        <f> -5148608 + 2566*2021 + 0.037* R15</f>
        <v>37596.607</v>
      </c>
      <c r="T15" s="157">
        <v>39600.0</v>
      </c>
      <c r="U15" s="160">
        <f t="shared" si="5"/>
        <v>0.05059073232</v>
      </c>
      <c r="V15" s="161">
        <f t="shared" si="6"/>
        <v>0.05059073232</v>
      </c>
    </row>
    <row r="16">
      <c r="R16" s="121">
        <v>12876.0</v>
      </c>
      <c r="S16" s="56">
        <f> -6267944 + 3155*2021 -4.55*R16</f>
        <v>49725.2</v>
      </c>
      <c r="T16" s="157">
        <v>48200.0</v>
      </c>
      <c r="U16" s="160">
        <f t="shared" si="5"/>
        <v>-0.03164315353</v>
      </c>
      <c r="V16" s="161">
        <f t="shared" si="6"/>
        <v>0.03164315353</v>
      </c>
    </row>
    <row r="17">
      <c r="R17" s="121">
        <v>21374.0</v>
      </c>
      <c r="S17" s="56">
        <f> -17552425 + 8746*2021 - 1.42*R17</f>
        <v>92889.92</v>
      </c>
      <c r="T17" s="157">
        <v>90000.0</v>
      </c>
      <c r="U17" s="160">
        <f t="shared" si="5"/>
        <v>-0.03211022222</v>
      </c>
      <c r="V17" s="161">
        <f t="shared" si="6"/>
        <v>0.03211022222</v>
      </c>
    </row>
    <row r="18">
      <c r="R18" s="134"/>
      <c r="S18" s="164"/>
      <c r="T18" s="134"/>
      <c r="U18" s="134"/>
      <c r="V18" s="134"/>
    </row>
    <row r="19">
      <c r="B19" s="60" t="s">
        <v>58</v>
      </c>
      <c r="C19" s="60" t="s">
        <v>276</v>
      </c>
      <c r="D19" s="60" t="s">
        <v>354</v>
      </c>
      <c r="E19" s="60" t="s">
        <v>329</v>
      </c>
      <c r="F19" s="20" t="s">
        <v>278</v>
      </c>
      <c r="H19" s="60" t="s">
        <v>188</v>
      </c>
      <c r="I19" s="60" t="s">
        <v>403</v>
      </c>
      <c r="J19" s="60" t="s">
        <v>354</v>
      </c>
      <c r="K19" s="60" t="s">
        <v>329</v>
      </c>
      <c r="L19" s="20" t="s">
        <v>278</v>
      </c>
      <c r="R19" s="121">
        <v>9263.0</v>
      </c>
      <c r="S19" s="56">
        <f> -5448012 + 2733.7*2021 - 3.78*R19</f>
        <v>41781.56</v>
      </c>
      <c r="T19" s="157">
        <v>42300.0</v>
      </c>
      <c r="U19" s="160">
        <f t="shared" ref="U19:U34" si="7">(T19-S19)/T19</f>
        <v>0.01225626478</v>
      </c>
      <c r="V19" s="161">
        <f t="shared" ref="V19:V34" si="8">ABS(U19)</f>
        <v>0.01225626478</v>
      </c>
    </row>
    <row r="20">
      <c r="B20" s="122">
        <v>3175.0</v>
      </c>
      <c r="C20" s="121">
        <v>6385.0</v>
      </c>
      <c r="D20" s="121">
        <v>4217.0</v>
      </c>
      <c r="E20" s="121">
        <v>4557.0</v>
      </c>
      <c r="F20" s="121">
        <v>51369.0</v>
      </c>
      <c r="H20" s="86">
        <v>21528.0</v>
      </c>
      <c r="I20" s="157">
        <v>51667.0</v>
      </c>
      <c r="J20" s="157">
        <v>16146.0</v>
      </c>
      <c r="K20" s="157">
        <v>16146.0</v>
      </c>
      <c r="L20" s="157">
        <v>18300.0</v>
      </c>
      <c r="R20" s="122">
        <v>14637.0</v>
      </c>
      <c r="S20" s="56">
        <f> -4873038 + 2416*2021 + 2.04*R20</f>
        <v>39557.48</v>
      </c>
      <c r="T20" s="86">
        <v>40000.0</v>
      </c>
      <c r="U20" s="160">
        <f t="shared" si="7"/>
        <v>0.011063</v>
      </c>
      <c r="V20" s="161">
        <f t="shared" si="8"/>
        <v>0.011063</v>
      </c>
    </row>
    <row r="21">
      <c r="B21" s="122">
        <v>3813.0</v>
      </c>
      <c r="C21" s="121">
        <v>7242.0</v>
      </c>
      <c r="D21" s="122">
        <v>4293.0</v>
      </c>
      <c r="E21" s="121">
        <v>4953.0</v>
      </c>
      <c r="F21" s="122">
        <v>3051.0</v>
      </c>
      <c r="H21" s="86">
        <v>78577.0</v>
      </c>
      <c r="I21" s="157">
        <v>72340.0</v>
      </c>
      <c r="J21" s="86">
        <v>19400.0</v>
      </c>
      <c r="K21" s="157">
        <v>26910.0</v>
      </c>
      <c r="L21" s="86">
        <v>69966.0</v>
      </c>
      <c r="R21" s="121">
        <v>23591.0</v>
      </c>
      <c r="S21" s="56">
        <f> -3969553 + 1980.1*2021 - 0.157*R2</f>
        <v>32229.1</v>
      </c>
      <c r="T21" s="157">
        <v>28500.0</v>
      </c>
      <c r="U21" s="160">
        <f t="shared" si="7"/>
        <v>-0.130845614</v>
      </c>
      <c r="V21" s="161">
        <f t="shared" si="8"/>
        <v>0.130845614</v>
      </c>
    </row>
    <row r="22">
      <c r="B22" s="122">
        <v>3036.0</v>
      </c>
      <c r="C22" s="121">
        <v>6234.0</v>
      </c>
      <c r="D22" s="121">
        <v>4279.0</v>
      </c>
      <c r="E22" s="121">
        <v>4392.0</v>
      </c>
      <c r="F22" s="122">
        <v>3188.0</v>
      </c>
      <c r="H22" s="86">
        <v>90400.0</v>
      </c>
      <c r="I22" s="157">
        <v>89300.0</v>
      </c>
      <c r="J22" s="157">
        <v>21400.0</v>
      </c>
      <c r="K22" s="157">
        <v>29600.0</v>
      </c>
      <c r="L22" s="86">
        <v>77000.0</v>
      </c>
      <c r="R22" s="121">
        <v>15050.0</v>
      </c>
      <c r="S22" s="56">
        <f> -5890607 + 2939*2021 - 0.29*R22</f>
        <v>44747.5</v>
      </c>
      <c r="T22" s="157">
        <v>44200.0</v>
      </c>
      <c r="U22" s="160">
        <f t="shared" si="7"/>
        <v>-0.01238687783</v>
      </c>
      <c r="V22" s="161">
        <f t="shared" si="8"/>
        <v>0.01238687783</v>
      </c>
    </row>
    <row r="23">
      <c r="B23" s="122">
        <v>3183.0</v>
      </c>
      <c r="C23" s="121">
        <v>7408.0</v>
      </c>
      <c r="D23" s="121">
        <v>4396.0</v>
      </c>
      <c r="E23" s="121">
        <v>4800.0</v>
      </c>
      <c r="F23" s="122">
        <v>51237.0</v>
      </c>
      <c r="H23" s="86">
        <v>93120.0</v>
      </c>
      <c r="I23" s="157">
        <v>120000.0</v>
      </c>
      <c r="J23" s="157">
        <v>30540.0</v>
      </c>
      <c r="K23" s="157">
        <v>41600.0</v>
      </c>
      <c r="L23" s="86">
        <v>90000.0</v>
      </c>
      <c r="R23" s="121">
        <v>12459.0</v>
      </c>
      <c r="S23" s="56">
        <f> -4559398 + 2279.02*2021 - 0.1786*R23</f>
        <v>44276.2426</v>
      </c>
      <c r="T23" s="86">
        <v>44200.0</v>
      </c>
      <c r="U23" s="160">
        <f t="shared" si="7"/>
        <v>-0.001724945701</v>
      </c>
      <c r="V23" s="161">
        <f t="shared" si="8"/>
        <v>0.001724945701</v>
      </c>
    </row>
    <row r="24">
      <c r="B24" s="122">
        <v>3177.0</v>
      </c>
      <c r="C24" s="121">
        <v>7452.0</v>
      </c>
      <c r="D24" s="121">
        <v>4399.0</v>
      </c>
      <c r="E24" s="121">
        <v>4815.0</v>
      </c>
      <c r="F24" s="122">
        <v>51373.0</v>
      </c>
      <c r="R24" s="121">
        <v>11312.0</v>
      </c>
      <c r="S24" s="56">
        <f> -4158404 + 2075*2021 - 0.619*R24</f>
        <v>28168.872</v>
      </c>
      <c r="T24" s="157">
        <v>26400.0</v>
      </c>
      <c r="U24" s="160">
        <f t="shared" si="7"/>
        <v>-0.06700272727</v>
      </c>
      <c r="V24" s="161">
        <f t="shared" si="8"/>
        <v>0.06700272727</v>
      </c>
    </row>
    <row r="25">
      <c r="R25" s="121">
        <v>69422.0</v>
      </c>
      <c r="S25" s="56">
        <f> -8960943 + 4466*2021 - 0.091*R25</f>
        <v>58525.598</v>
      </c>
      <c r="T25" s="157">
        <v>58600.0</v>
      </c>
      <c r="U25" s="160">
        <f t="shared" si="7"/>
        <v>0.001269658703</v>
      </c>
      <c r="V25" s="161">
        <f t="shared" si="8"/>
        <v>0.001269658703</v>
      </c>
    </row>
    <row r="26">
      <c r="A26" s="165"/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21">
        <v>11400.0</v>
      </c>
      <c r="S26" s="56">
        <f> -3654781 + 1821.1*2021 + 0.78*R26</f>
        <v>34554.1</v>
      </c>
      <c r="T26" s="157">
        <v>35000.0</v>
      </c>
      <c r="U26" s="160">
        <f t="shared" si="7"/>
        <v>0.01274</v>
      </c>
      <c r="V26" s="161">
        <f t="shared" si="8"/>
        <v>0.01274</v>
      </c>
      <c r="W26" s="165"/>
      <c r="X26" s="165"/>
      <c r="Y26" s="165"/>
      <c r="Z26" s="165"/>
      <c r="AA26" s="165"/>
      <c r="AB26" s="165"/>
      <c r="AC26" s="165"/>
      <c r="AD26" s="165"/>
      <c r="AE26" s="165"/>
      <c r="AF26" s="165"/>
      <c r="AG26" s="165"/>
      <c r="AH26" s="165"/>
      <c r="AI26" s="165"/>
      <c r="AJ26" s="165"/>
    </row>
    <row r="27">
      <c r="A27" s="65" t="s">
        <v>327</v>
      </c>
      <c r="H27" s="28" t="s">
        <v>388</v>
      </c>
      <c r="R27" s="122">
        <v>7765.0</v>
      </c>
      <c r="S27" s="56">
        <f> -31117591 + 15611*2021 -28.5*R27</f>
        <v>210937.5</v>
      </c>
      <c r="T27" s="86">
        <v>203200.0</v>
      </c>
      <c r="U27" s="160">
        <f t="shared" si="7"/>
        <v>-0.03807824803</v>
      </c>
      <c r="V27" s="161">
        <f t="shared" si="8"/>
        <v>0.03807824803</v>
      </c>
    </row>
    <row r="28">
      <c r="B28" s="57">
        <v>157280.0</v>
      </c>
      <c r="C28" s="57">
        <v>11195.0</v>
      </c>
      <c r="D28" s="57"/>
      <c r="E28" s="57"/>
      <c r="F28" s="57"/>
      <c r="I28" s="166">
        <v>4770.0</v>
      </c>
      <c r="J28" s="166">
        <v>970.0</v>
      </c>
      <c r="K28" s="166"/>
      <c r="L28" s="166"/>
      <c r="M28" s="166"/>
      <c r="R28" s="122">
        <v>15658.0</v>
      </c>
      <c r="S28" s="56">
        <f> -4464998 + 2220*2021 + 1.22*R28</f>
        <v>40724.76</v>
      </c>
      <c r="T28" s="86">
        <v>40000.0</v>
      </c>
      <c r="U28" s="160">
        <f t="shared" si="7"/>
        <v>-0.018119</v>
      </c>
      <c r="V28" s="161">
        <f t="shared" si="8"/>
        <v>0.018119</v>
      </c>
    </row>
    <row r="29">
      <c r="B29" s="57">
        <v>150652.0</v>
      </c>
      <c r="C29" s="57">
        <v>24370.0</v>
      </c>
      <c r="D29" s="57"/>
      <c r="E29" s="57"/>
      <c r="F29" s="57"/>
      <c r="I29" s="166">
        <v>3516.0</v>
      </c>
      <c r="J29" s="166">
        <v>2000.0</v>
      </c>
      <c r="K29" s="166"/>
      <c r="L29" s="166"/>
      <c r="M29" s="166"/>
      <c r="R29" s="121">
        <v>9038.0</v>
      </c>
      <c r="S29" s="56">
        <f> -11645354 + 5837*2021 - 10.28*R29</f>
        <v>58312.36</v>
      </c>
      <c r="T29" s="157">
        <v>55000.0</v>
      </c>
      <c r="U29" s="160">
        <f t="shared" si="7"/>
        <v>-0.06022472727</v>
      </c>
      <c r="V29" s="161">
        <f t="shared" si="8"/>
        <v>0.06022472727</v>
      </c>
    </row>
    <row r="30">
      <c r="B30" s="57">
        <v>182674.0</v>
      </c>
      <c r="C30" s="57">
        <v>28670.0</v>
      </c>
      <c r="D30" s="57"/>
      <c r="E30" s="57"/>
      <c r="F30" s="57"/>
      <c r="I30" s="57">
        <v>4508.0</v>
      </c>
      <c r="J30" s="166">
        <v>2400.0</v>
      </c>
      <c r="K30" s="166"/>
      <c r="L30" s="166"/>
      <c r="M30" s="166"/>
      <c r="R30" s="121">
        <v>30305.0</v>
      </c>
      <c r="S30" s="56">
        <f> -5895903 + 2929*2021 + 1.24*R30</f>
        <v>61184.2</v>
      </c>
      <c r="T30" s="157">
        <v>53400.0</v>
      </c>
      <c r="U30" s="160">
        <f t="shared" si="7"/>
        <v>-0.1457715356</v>
      </c>
      <c r="V30" s="161">
        <f t="shared" si="8"/>
        <v>0.1457715356</v>
      </c>
    </row>
    <row r="31">
      <c r="B31" s="57">
        <v>244712.0</v>
      </c>
      <c r="C31" s="167">
        <v>39430.0</v>
      </c>
      <c r="D31" s="167"/>
      <c r="E31" s="167"/>
      <c r="F31" s="167"/>
      <c r="I31" s="166">
        <v>7819.0</v>
      </c>
      <c r="J31" s="166">
        <v>2400.0</v>
      </c>
      <c r="K31" s="166"/>
      <c r="L31" s="166"/>
      <c r="M31" s="166"/>
      <c r="R31" s="121">
        <v>10173.0</v>
      </c>
      <c r="S31" s="56">
        <f> -3571724 + 1782.5*2021 + 0.362*R31</f>
        <v>34391.126</v>
      </c>
      <c r="T31" s="157">
        <v>35000.0</v>
      </c>
      <c r="U31" s="160">
        <f t="shared" si="7"/>
        <v>0.0173964</v>
      </c>
      <c r="V31" s="161">
        <f t="shared" si="8"/>
        <v>0.0173964</v>
      </c>
    </row>
    <row r="32">
      <c r="B32" s="57">
        <v>265152.0</v>
      </c>
      <c r="C32" s="57"/>
      <c r="D32" s="57"/>
      <c r="E32" s="57"/>
      <c r="F32" s="57"/>
      <c r="I32" s="166">
        <v>8948.0</v>
      </c>
      <c r="J32" s="166"/>
      <c r="K32" s="166"/>
      <c r="L32" s="166"/>
      <c r="M32" s="166"/>
      <c r="R32" s="121">
        <v>41144.0</v>
      </c>
      <c r="S32" s="56">
        <f> -7191267 + 3572*2021 +0.8*R32</f>
        <v>60660.2</v>
      </c>
      <c r="T32" s="157">
        <v>54000.0</v>
      </c>
      <c r="U32" s="160">
        <f t="shared" si="7"/>
        <v>-0.123337037</v>
      </c>
      <c r="V32" s="161">
        <f t="shared" si="8"/>
        <v>0.123337037</v>
      </c>
    </row>
    <row r="33">
      <c r="R33" s="121">
        <v>22101.0</v>
      </c>
      <c r="S33" s="56">
        <f> -5817120 + 2907.6*2021 - 1.094*R33</f>
        <v>34961.106</v>
      </c>
      <c r="T33" s="157">
        <v>35300.0</v>
      </c>
      <c r="U33" s="160">
        <f t="shared" si="7"/>
        <v>0.009600396601</v>
      </c>
      <c r="V33" s="161">
        <f t="shared" si="8"/>
        <v>0.009600396601</v>
      </c>
    </row>
    <row r="34">
      <c r="A34" s="65" t="s">
        <v>319</v>
      </c>
      <c r="H34" s="28" t="s">
        <v>385</v>
      </c>
      <c r="R34" s="122">
        <v>8493.0</v>
      </c>
      <c r="S34" s="56">
        <f> -5472128 + 2734.8*2021 - 2.08*R34</f>
        <v>37237.36</v>
      </c>
      <c r="T34" s="86">
        <v>36200.0</v>
      </c>
      <c r="U34" s="160">
        <f t="shared" si="7"/>
        <v>-0.02865635359</v>
      </c>
      <c r="V34" s="161">
        <f t="shared" si="8"/>
        <v>0.02865635359</v>
      </c>
    </row>
    <row r="35">
      <c r="B35" s="57">
        <v>104120.0</v>
      </c>
      <c r="C35" s="57">
        <v>12260.0</v>
      </c>
      <c r="D35" s="57"/>
      <c r="E35" s="57"/>
      <c r="F35" s="57"/>
      <c r="I35" s="166">
        <v>11916.0</v>
      </c>
      <c r="J35" s="166">
        <v>1500.0</v>
      </c>
      <c r="K35" s="166"/>
      <c r="L35" s="166"/>
      <c r="M35" s="166"/>
      <c r="R35" s="134"/>
      <c r="S35" s="164"/>
      <c r="T35" s="134"/>
      <c r="U35" s="134"/>
      <c r="V35" s="134"/>
    </row>
    <row r="36">
      <c r="B36" s="57">
        <v>130274.0</v>
      </c>
      <c r="C36" s="57">
        <v>26950.0</v>
      </c>
      <c r="D36" s="57"/>
      <c r="E36" s="57"/>
      <c r="F36" s="57"/>
      <c r="I36" s="166">
        <v>7353.0</v>
      </c>
      <c r="J36" s="166">
        <v>3000.0</v>
      </c>
      <c r="K36" s="166"/>
      <c r="L36" s="166"/>
      <c r="M36" s="166"/>
      <c r="R36" s="121">
        <v>17111.0</v>
      </c>
      <c r="S36" s="56">
        <f>   -5600186 + 2804*2021- 2.378 *R36</f>
        <v>26008.042</v>
      </c>
      <c r="T36" s="157">
        <v>45000.0</v>
      </c>
      <c r="U36" s="168">
        <f t="shared" ref="U36:U45" si="9">(T36-S36)/T36</f>
        <v>0.4220435111</v>
      </c>
      <c r="V36" s="161">
        <f t="shared" ref="V36:V45" si="10">ABS(U36)</f>
        <v>0.4220435111</v>
      </c>
    </row>
    <row r="37">
      <c r="B37" s="57">
        <v>119756.0</v>
      </c>
      <c r="C37" s="57">
        <v>36570.0</v>
      </c>
      <c r="D37" s="57"/>
      <c r="E37" s="57"/>
      <c r="F37" s="57"/>
      <c r="I37" s="57">
        <v>14339.0</v>
      </c>
      <c r="J37" s="166">
        <v>5400.0</v>
      </c>
      <c r="K37" s="166"/>
      <c r="L37" s="166"/>
      <c r="M37" s="166"/>
      <c r="R37" s="121">
        <v>19567.0</v>
      </c>
      <c r="S37" s="56">
        <f>  -5639124 + 2801*2021 + 1.26 *R37</f>
        <v>46351.42</v>
      </c>
      <c r="T37" s="157">
        <v>45300.0</v>
      </c>
      <c r="U37" s="160">
        <f t="shared" si="9"/>
        <v>-0.02321015453</v>
      </c>
      <c r="V37" s="161">
        <f t="shared" si="10"/>
        <v>0.02321015453</v>
      </c>
    </row>
    <row r="38">
      <c r="B38" s="57">
        <v>142423.0</v>
      </c>
      <c r="C38" s="167">
        <v>44090.0</v>
      </c>
      <c r="D38" s="167"/>
      <c r="E38" s="167"/>
      <c r="F38" s="167"/>
      <c r="I38" s="166">
        <v>20434.0</v>
      </c>
      <c r="J38" s="166">
        <v>3300.0</v>
      </c>
      <c r="K38" s="166"/>
      <c r="L38" s="166"/>
      <c r="M38" s="166"/>
      <c r="R38" s="121">
        <v>10258.0</v>
      </c>
      <c r="S38" s="56">
        <f>  -7679161 + 3818 *2021 + 0.74 *R38</f>
        <v>44607.92</v>
      </c>
      <c r="T38" s="157">
        <v>40000.0</v>
      </c>
      <c r="U38" s="160">
        <f t="shared" si="9"/>
        <v>-0.115198</v>
      </c>
      <c r="V38" s="161">
        <f t="shared" si="10"/>
        <v>0.115198</v>
      </c>
    </row>
    <row r="39">
      <c r="B39" s="57">
        <v>156525.0</v>
      </c>
      <c r="C39" s="57"/>
      <c r="D39" s="57"/>
      <c r="E39" s="57"/>
      <c r="F39" s="57"/>
      <c r="I39" s="166">
        <v>22027.0</v>
      </c>
      <c r="J39" s="166"/>
      <c r="K39" s="166"/>
      <c r="L39" s="166"/>
      <c r="M39" s="166"/>
      <c r="R39" s="122">
        <v>7033.0</v>
      </c>
      <c r="S39" s="56">
        <f>  -8937980 + 4643 *2021 - 56.9 *R39</f>
        <v>45345.3</v>
      </c>
      <c r="T39" s="86">
        <v>50000.0</v>
      </c>
      <c r="U39" s="160">
        <f t="shared" si="9"/>
        <v>0.093094</v>
      </c>
      <c r="V39" s="161">
        <f t="shared" si="10"/>
        <v>0.093094</v>
      </c>
    </row>
    <row r="40">
      <c r="R40" s="122">
        <v>6124.0</v>
      </c>
      <c r="S40" s="56">
        <f>  -3385342 + 1684 *2021 + 2.06 *R40</f>
        <v>30637.44</v>
      </c>
      <c r="T40" s="86">
        <v>28100.0</v>
      </c>
      <c r="U40" s="160">
        <f t="shared" si="9"/>
        <v>-0.09030035587</v>
      </c>
      <c r="V40" s="161">
        <f t="shared" si="10"/>
        <v>0.09030035587</v>
      </c>
    </row>
    <row r="41">
      <c r="A41" s="65" t="s">
        <v>321</v>
      </c>
      <c r="H41" s="28" t="s">
        <v>374</v>
      </c>
      <c r="R41" s="121">
        <v>5333.0</v>
      </c>
      <c r="S41" s="56">
        <f>  -2186264 + 1081 *2021 + 5.87 *R41</f>
        <v>29741.71</v>
      </c>
      <c r="T41" s="157">
        <v>26000.0</v>
      </c>
      <c r="U41" s="160">
        <f t="shared" si="9"/>
        <v>-0.1439119231</v>
      </c>
      <c r="V41" s="161">
        <f t="shared" si="10"/>
        <v>0.1439119231</v>
      </c>
    </row>
    <row r="42">
      <c r="B42" s="57">
        <v>51369.0</v>
      </c>
      <c r="C42" s="57">
        <v>11727.0</v>
      </c>
      <c r="D42" s="57"/>
      <c r="E42" s="57"/>
      <c r="F42" s="57"/>
      <c r="I42" s="166">
        <v>47602.0</v>
      </c>
      <c r="J42" s="166">
        <v>2000.0</v>
      </c>
      <c r="K42" s="166"/>
      <c r="L42" s="166"/>
      <c r="M42" s="166"/>
      <c r="R42" s="122">
        <v>21222.0</v>
      </c>
      <c r="S42" s="56">
        <f>  -3994280 + 1994.8 *2021+ 0.133 *R42</f>
        <v>40033.326</v>
      </c>
      <c r="T42" s="86">
        <v>40000.0</v>
      </c>
      <c r="U42" s="160">
        <f t="shared" si="9"/>
        <v>-0.00083315</v>
      </c>
      <c r="V42" s="161">
        <f t="shared" si="10"/>
        <v>0.00083315</v>
      </c>
    </row>
    <row r="43">
      <c r="B43" s="57">
        <v>49334.0</v>
      </c>
      <c r="C43" s="57">
        <v>25661.0</v>
      </c>
      <c r="D43" s="57"/>
      <c r="E43" s="57"/>
      <c r="F43" s="57"/>
      <c r="I43" s="166">
        <v>43995.0</v>
      </c>
      <c r="J43" s="166">
        <v>2560.0</v>
      </c>
      <c r="K43" s="166"/>
      <c r="L43" s="166"/>
      <c r="M43" s="166"/>
      <c r="R43" s="121">
        <v>6809.0</v>
      </c>
      <c r="S43" s="56">
        <f>   -14521508 + 7074 *2021+ 37.95 *R43</f>
        <v>33447.55</v>
      </c>
      <c r="T43" s="157">
        <v>81400.0</v>
      </c>
      <c r="U43" s="168">
        <f t="shared" si="9"/>
        <v>0.5890964373</v>
      </c>
      <c r="V43" s="161">
        <f t="shared" si="10"/>
        <v>0.5890964373</v>
      </c>
    </row>
    <row r="44">
      <c r="B44" s="57">
        <v>47728.0</v>
      </c>
      <c r="C44" s="57">
        <v>32620.0</v>
      </c>
      <c r="D44" s="57"/>
      <c r="E44" s="57"/>
      <c r="F44" s="57"/>
      <c r="I44" s="57">
        <v>66335.0</v>
      </c>
      <c r="J44" s="166">
        <v>3450.0</v>
      </c>
      <c r="K44" s="166"/>
      <c r="L44" s="166"/>
      <c r="M44" s="166"/>
      <c r="R44" s="121">
        <v>9416.0</v>
      </c>
      <c r="S44" s="56">
        <f>  -4218089 + 2102 *2021+ 0.18 *R44</f>
        <v>31747.88</v>
      </c>
      <c r="T44" s="157">
        <v>30100.0</v>
      </c>
      <c r="U44" s="160">
        <f t="shared" si="9"/>
        <v>-0.05474684385</v>
      </c>
      <c r="V44" s="161">
        <f t="shared" si="10"/>
        <v>0.05474684385</v>
      </c>
    </row>
    <row r="45">
      <c r="B45" s="57">
        <v>51237.0</v>
      </c>
      <c r="C45" s="167">
        <v>41760.0</v>
      </c>
      <c r="D45" s="167"/>
      <c r="E45" s="167"/>
      <c r="F45" s="167"/>
      <c r="I45" s="166">
        <v>71324.0</v>
      </c>
      <c r="J45" s="166">
        <v>3075.0</v>
      </c>
      <c r="K45" s="166"/>
      <c r="L45" s="166"/>
      <c r="M45" s="166"/>
      <c r="R45" s="121">
        <v>28387.0</v>
      </c>
      <c r="S45" s="56">
        <f>  -9999377 + 4982 *2021- 0.436 *R45</f>
        <v>56868.268</v>
      </c>
      <c r="T45" s="157">
        <v>55000.0</v>
      </c>
      <c r="U45" s="160">
        <f t="shared" si="9"/>
        <v>-0.03396850909</v>
      </c>
      <c r="V45" s="161">
        <f t="shared" si="10"/>
        <v>0.03396850909</v>
      </c>
    </row>
    <row r="46">
      <c r="B46" s="57">
        <v>51373.0</v>
      </c>
      <c r="C46" s="57"/>
      <c r="D46" s="57"/>
      <c r="E46" s="57"/>
      <c r="F46" s="57"/>
      <c r="I46" s="166">
        <v>71313.0</v>
      </c>
      <c r="J46" s="166"/>
      <c r="K46" s="166"/>
      <c r="L46" s="166"/>
      <c r="M46" s="166"/>
      <c r="R46" s="134"/>
      <c r="S46" s="164"/>
      <c r="T46" s="134"/>
      <c r="U46" s="134"/>
      <c r="V46" s="134"/>
    </row>
    <row r="47">
      <c r="R47" s="121">
        <v>17781.0</v>
      </c>
      <c r="S47" s="56">
        <f> -2756678 + 1373 *2021+ 0.381 *R47</f>
        <v>24929.561</v>
      </c>
      <c r="T47" s="157">
        <v>25000.0</v>
      </c>
      <c r="U47" s="160">
        <f t="shared" ref="U47:U53" si="11">(T47-S47)/T47</f>
        <v>0.00281756</v>
      </c>
      <c r="V47" s="161">
        <f t="shared" ref="V47:V53" si="12">ABS(U47)</f>
        <v>0.00281756</v>
      </c>
    </row>
    <row r="48">
      <c r="A48" s="65" t="s">
        <v>308</v>
      </c>
      <c r="H48" s="18" t="s">
        <v>386</v>
      </c>
      <c r="R48" s="121">
        <v>51226.0</v>
      </c>
      <c r="S48" s="56">
        <f>  -2268513 + 1131 *2021+ 0.04 *R48</f>
        <v>19287.04</v>
      </c>
      <c r="T48" s="157">
        <v>20000.0</v>
      </c>
      <c r="U48" s="160">
        <f t="shared" si="11"/>
        <v>0.035648</v>
      </c>
      <c r="V48" s="161">
        <f t="shared" si="12"/>
        <v>0.035648</v>
      </c>
    </row>
    <row r="49">
      <c r="B49" s="57">
        <v>59342.0</v>
      </c>
      <c r="C49" s="57">
        <v>13590.0</v>
      </c>
      <c r="D49" s="57"/>
      <c r="E49" s="57"/>
      <c r="F49" s="57"/>
      <c r="I49" s="166">
        <v>7035.0</v>
      </c>
      <c r="J49" s="166">
        <v>2224.0</v>
      </c>
      <c r="K49" s="166"/>
      <c r="L49" s="166"/>
      <c r="M49" s="166"/>
      <c r="R49" s="121">
        <v>7765.0</v>
      </c>
      <c r="S49" s="56">
        <f>  -4595503 + 2304.2 *2021- 4 *R49</f>
        <v>30225.2</v>
      </c>
      <c r="T49" s="157">
        <v>30100.0</v>
      </c>
      <c r="U49" s="160">
        <f t="shared" si="11"/>
        <v>-0.004159468439</v>
      </c>
      <c r="V49" s="161">
        <f t="shared" si="12"/>
        <v>0.004159468439</v>
      </c>
    </row>
    <row r="50">
      <c r="B50" s="57">
        <v>60359.0</v>
      </c>
      <c r="C50" s="57">
        <v>26046.0</v>
      </c>
      <c r="D50" s="57"/>
      <c r="E50" s="57"/>
      <c r="F50" s="57"/>
      <c r="I50" s="166">
        <v>3449.0</v>
      </c>
      <c r="J50" s="166">
        <v>2560.0</v>
      </c>
      <c r="K50" s="166"/>
      <c r="L50" s="166"/>
      <c r="M50" s="166"/>
      <c r="R50" s="121">
        <v>30504.0</v>
      </c>
      <c r="S50" s="56">
        <f>  -5699106 + 2832 *2021+ 0.485 *R50</f>
        <v>39160.44</v>
      </c>
      <c r="T50" s="157">
        <v>41900.0</v>
      </c>
      <c r="U50" s="160">
        <f t="shared" si="11"/>
        <v>0.06538329356</v>
      </c>
      <c r="V50" s="161">
        <f t="shared" si="12"/>
        <v>0.06538329356</v>
      </c>
    </row>
    <row r="51">
      <c r="B51" s="57">
        <v>76219.0</v>
      </c>
      <c r="C51" s="57">
        <v>32850.0</v>
      </c>
      <c r="D51" s="57"/>
      <c r="E51" s="57"/>
      <c r="F51" s="57"/>
      <c r="I51" s="169">
        <v>9680.0</v>
      </c>
      <c r="J51" s="166">
        <v>3000.0</v>
      </c>
      <c r="K51" s="166"/>
      <c r="L51" s="166"/>
      <c r="M51" s="166"/>
      <c r="R51" s="121">
        <v>23393.0</v>
      </c>
      <c r="S51" s="56">
        <f>   -6358407 + 3178 *2021- 0.9 *R51</f>
        <v>43277.3</v>
      </c>
      <c r="T51" s="157">
        <v>45000.0</v>
      </c>
      <c r="U51" s="160">
        <f t="shared" si="11"/>
        <v>0.03828222222</v>
      </c>
      <c r="V51" s="161">
        <f t="shared" si="12"/>
        <v>0.03828222222</v>
      </c>
    </row>
    <row r="52">
      <c r="B52" s="57">
        <v>78828.0</v>
      </c>
      <c r="C52" s="167">
        <v>53200.0</v>
      </c>
      <c r="D52" s="167"/>
      <c r="E52" s="167"/>
      <c r="F52" s="167"/>
      <c r="I52" s="166">
        <v>12535.0</v>
      </c>
      <c r="J52" s="166">
        <v>3300.0</v>
      </c>
      <c r="K52" s="166"/>
      <c r="L52" s="166"/>
      <c r="M52" s="166"/>
      <c r="R52" s="122">
        <v>5950.0</v>
      </c>
      <c r="S52" s="56">
        <f>   -8671224 + 4312 *2021+ 5 *R52</f>
        <v>73078</v>
      </c>
      <c r="T52" s="86">
        <v>65000.0</v>
      </c>
      <c r="U52" s="160">
        <f t="shared" si="11"/>
        <v>-0.1242769231</v>
      </c>
      <c r="V52" s="161">
        <f t="shared" si="12"/>
        <v>0.1242769231</v>
      </c>
    </row>
    <row r="53">
      <c r="B53" s="57">
        <v>107746.0</v>
      </c>
      <c r="C53" s="57"/>
      <c r="D53" s="57"/>
      <c r="E53" s="57"/>
      <c r="F53" s="57"/>
      <c r="I53" s="166">
        <v>12534.0</v>
      </c>
      <c r="J53" s="166"/>
      <c r="K53" s="166"/>
      <c r="L53" s="166"/>
      <c r="M53" s="166"/>
      <c r="R53" s="121">
        <v>3901.0</v>
      </c>
      <c r="S53" s="56">
        <f>   -7075883 + 3569 *2021- 22.7 *R53</f>
        <v>48513.3</v>
      </c>
      <c r="T53" s="157">
        <v>49000.0</v>
      </c>
      <c r="U53" s="160">
        <f t="shared" si="11"/>
        <v>0.009932653061</v>
      </c>
      <c r="V53" s="161">
        <f t="shared" si="12"/>
        <v>0.009932653061</v>
      </c>
    </row>
    <row r="54">
      <c r="R54" s="134"/>
      <c r="S54" s="164"/>
      <c r="T54" s="134"/>
      <c r="U54" s="134"/>
      <c r="V54" s="134"/>
    </row>
    <row r="55">
      <c r="A55" s="65" t="s">
        <v>292</v>
      </c>
      <c r="H55" s="28" t="s">
        <v>387</v>
      </c>
      <c r="R55" s="121">
        <v>17166.0</v>
      </c>
      <c r="S55" s="56">
        <f> -11229596 + 5608*2021 - 0.6*R55</f>
        <v>93872.4</v>
      </c>
      <c r="T55" s="157">
        <v>90420.0</v>
      </c>
      <c r="U55" s="160">
        <f t="shared" ref="U55:U142" si="13">(T55-S55)/T55</f>
        <v>-0.03818181818</v>
      </c>
      <c r="V55" s="161">
        <f t="shared" ref="V55:V142" si="14">ABS(U55)</f>
        <v>0.03818181818</v>
      </c>
    </row>
    <row r="56">
      <c r="B56" s="57">
        <v>40410.0</v>
      </c>
      <c r="C56" s="57">
        <v>16506.0</v>
      </c>
      <c r="D56" s="57"/>
      <c r="E56" s="57"/>
      <c r="F56" s="57"/>
      <c r="I56" s="166">
        <v>6061.0</v>
      </c>
      <c r="J56" s="166">
        <v>2400.0</v>
      </c>
      <c r="K56" s="166"/>
      <c r="L56" s="166"/>
      <c r="M56" s="166"/>
      <c r="R56" s="121">
        <v>3494.0</v>
      </c>
      <c r="S56" s="56">
        <f> - 6647740 + 3352*2021 -21*R56</f>
        <v>53278</v>
      </c>
      <c r="T56" s="157">
        <v>49000.0</v>
      </c>
      <c r="U56" s="160">
        <f t="shared" si="13"/>
        <v>-0.08730612245</v>
      </c>
      <c r="V56" s="161">
        <f t="shared" si="14"/>
        <v>0.08730612245</v>
      </c>
    </row>
    <row r="57">
      <c r="B57" s="57">
        <v>58008.0</v>
      </c>
      <c r="C57" s="57">
        <v>31310.0</v>
      </c>
      <c r="D57" s="57"/>
      <c r="E57" s="57"/>
      <c r="F57" s="57"/>
      <c r="I57" s="166">
        <v>6403.0</v>
      </c>
      <c r="J57" s="166">
        <v>2687.0</v>
      </c>
      <c r="K57" s="166"/>
      <c r="L57" s="166"/>
      <c r="M57" s="166"/>
      <c r="R57" s="138">
        <v>14812.0</v>
      </c>
      <c r="S57" s="56">
        <f> -47319730 + 23556*2021 - 0.6*R57</f>
        <v>278058.8</v>
      </c>
      <c r="T57" s="157">
        <v>270000.0</v>
      </c>
      <c r="U57" s="160">
        <f t="shared" si="13"/>
        <v>-0.02984740741</v>
      </c>
      <c r="V57" s="161">
        <f t="shared" si="14"/>
        <v>0.02984740741</v>
      </c>
    </row>
    <row r="58">
      <c r="B58" s="57">
        <v>56980.0</v>
      </c>
      <c r="C58" s="57">
        <v>51966.0</v>
      </c>
      <c r="D58" s="57"/>
      <c r="E58" s="57"/>
      <c r="F58" s="57"/>
      <c r="I58" s="170">
        <v>7500.0</v>
      </c>
      <c r="J58" s="166">
        <v>3000.0</v>
      </c>
      <c r="K58" s="166"/>
      <c r="L58" s="166"/>
      <c r="M58" s="166"/>
      <c r="R58" s="121">
        <v>5971.0</v>
      </c>
      <c r="S58" s="56">
        <f> -4247368 + 2188*2021 -18.02*R58</f>
        <v>66982.58</v>
      </c>
      <c r="T58" s="157">
        <v>64400.0</v>
      </c>
      <c r="U58" s="160">
        <f t="shared" si="13"/>
        <v>-0.04010217391</v>
      </c>
      <c r="V58" s="161">
        <f t="shared" si="14"/>
        <v>0.04010217391</v>
      </c>
    </row>
    <row r="59">
      <c r="B59" s="57">
        <v>59548.0</v>
      </c>
      <c r="C59" s="167">
        <v>65533.0</v>
      </c>
      <c r="D59" s="167"/>
      <c r="E59" s="167"/>
      <c r="F59" s="167"/>
      <c r="I59" s="166">
        <v>21503.0</v>
      </c>
      <c r="J59" s="166">
        <v>3300.0</v>
      </c>
      <c r="K59" s="166"/>
      <c r="L59" s="166"/>
      <c r="M59" s="166"/>
      <c r="R59" s="122">
        <v>2701.0</v>
      </c>
      <c r="S59" s="56">
        <f> -14113146 + 6990*2021 + 42*R59</f>
        <v>127086</v>
      </c>
      <c r="T59" s="157">
        <v>120000.0</v>
      </c>
      <c r="U59" s="160">
        <f t="shared" si="13"/>
        <v>-0.05905</v>
      </c>
      <c r="V59" s="161">
        <f t="shared" si="14"/>
        <v>0.05905</v>
      </c>
    </row>
    <row r="60">
      <c r="B60" s="57">
        <v>94590.0</v>
      </c>
      <c r="C60" s="57"/>
      <c r="D60" s="57"/>
      <c r="E60" s="57"/>
      <c r="F60" s="57"/>
      <c r="I60" s="166">
        <v>21527.0</v>
      </c>
      <c r="J60" s="166"/>
      <c r="K60" s="166"/>
      <c r="L60" s="166"/>
      <c r="M60" s="166"/>
      <c r="R60" s="122">
        <v>2764.0</v>
      </c>
      <c r="S60" s="56">
        <f> -2776948 + 1397.7*2021 + 1.11*R60</f>
        <v>50871.74</v>
      </c>
      <c r="T60" s="86">
        <v>51000.0</v>
      </c>
      <c r="U60" s="160">
        <f t="shared" si="13"/>
        <v>0.002514901961</v>
      </c>
      <c r="V60" s="161">
        <f t="shared" si="14"/>
        <v>0.002514901961</v>
      </c>
    </row>
    <row r="61">
      <c r="R61" s="121">
        <v>3014.0</v>
      </c>
      <c r="S61" s="56">
        <f> -5402852 + 2704*2021 - 6.9*R61</f>
        <v>41135.4</v>
      </c>
      <c r="T61" s="157">
        <v>40300.0</v>
      </c>
      <c r="U61" s="160">
        <f t="shared" si="13"/>
        <v>-0.02072952854</v>
      </c>
      <c r="V61" s="161">
        <f t="shared" si="14"/>
        <v>0.02072952854</v>
      </c>
    </row>
    <row r="62">
      <c r="A62" s="65" t="s">
        <v>298</v>
      </c>
      <c r="H62" s="28" t="s">
        <v>375</v>
      </c>
      <c r="R62" s="122">
        <v>4633.0</v>
      </c>
      <c r="S62" s="56">
        <f> -13174217 + 6707*2021 - 53.8*R62</f>
        <v>131374.6</v>
      </c>
      <c r="T62" s="86">
        <v>125000.0</v>
      </c>
      <c r="U62" s="160">
        <f t="shared" si="13"/>
        <v>-0.0509968</v>
      </c>
      <c r="V62" s="161">
        <f t="shared" si="14"/>
        <v>0.0509968</v>
      </c>
    </row>
    <row r="63">
      <c r="B63" s="57">
        <v>54171.0</v>
      </c>
      <c r="C63" s="57">
        <v>13278.0</v>
      </c>
      <c r="D63" s="57"/>
      <c r="E63" s="57"/>
      <c r="F63" s="57"/>
      <c r="I63" s="166">
        <v>3167.0</v>
      </c>
      <c r="J63" s="166">
        <v>9500.0</v>
      </c>
      <c r="K63" s="166"/>
      <c r="L63" s="166"/>
      <c r="M63" s="166"/>
      <c r="R63" s="121">
        <v>3605.0</v>
      </c>
      <c r="S63" s="56">
        <f> -13345296 + 6644*2021 + 5.2*R63</f>
        <v>100974</v>
      </c>
      <c r="T63" s="157">
        <v>100000.0</v>
      </c>
      <c r="U63" s="160">
        <f t="shared" si="13"/>
        <v>-0.00974</v>
      </c>
      <c r="V63" s="161">
        <f t="shared" si="14"/>
        <v>0.00974</v>
      </c>
    </row>
    <row r="64">
      <c r="B64" s="57">
        <v>76880.0</v>
      </c>
      <c r="C64" s="57">
        <v>38290.0</v>
      </c>
      <c r="D64" s="57"/>
      <c r="E64" s="57"/>
      <c r="F64" s="57"/>
      <c r="I64" s="20">
        <v>3175.0</v>
      </c>
      <c r="J64" s="20">
        <v>9500.0</v>
      </c>
      <c r="K64" s="20"/>
      <c r="L64" s="20"/>
      <c r="M64" s="20"/>
      <c r="R64" s="122">
        <v>3311.0</v>
      </c>
      <c r="S64" s="56">
        <f> -6814645 + 3422*2021 - 14.5*R64</f>
        <v>53207.5</v>
      </c>
      <c r="T64" s="86">
        <v>52200.0</v>
      </c>
      <c r="U64" s="160">
        <f t="shared" si="13"/>
        <v>-0.01930076628</v>
      </c>
      <c r="V64" s="161">
        <f t="shared" si="14"/>
        <v>0.01930076628</v>
      </c>
    </row>
    <row r="65">
      <c r="B65" s="57">
        <v>74966.0</v>
      </c>
      <c r="C65" s="57">
        <v>42133.0</v>
      </c>
      <c r="D65" s="57"/>
      <c r="E65" s="57"/>
      <c r="F65" s="57"/>
      <c r="I65" s="57">
        <v>8884.0</v>
      </c>
      <c r="J65" s="20">
        <v>11400.0</v>
      </c>
      <c r="K65" s="20"/>
      <c r="L65" s="20"/>
      <c r="M65" s="20"/>
      <c r="R65" s="121">
        <v>3459.0</v>
      </c>
      <c r="S65" s="56">
        <f> -14166525 + 7145*2021 - 53.8*R65</f>
        <v>87425.8</v>
      </c>
      <c r="T65" s="157">
        <v>89650.0</v>
      </c>
      <c r="U65" s="160">
        <f t="shared" si="13"/>
        <v>0.02480981595</v>
      </c>
      <c r="V65" s="161">
        <f t="shared" si="14"/>
        <v>0.02480981595</v>
      </c>
    </row>
    <row r="66">
      <c r="B66" s="57">
        <v>80825.0</v>
      </c>
      <c r="C66" s="167">
        <v>54713.0</v>
      </c>
      <c r="D66" s="167"/>
      <c r="E66" s="167"/>
      <c r="F66" s="167"/>
      <c r="I66" s="20">
        <v>12313.0</v>
      </c>
      <c r="J66" s="20">
        <v>15000.0</v>
      </c>
      <c r="K66" s="20"/>
      <c r="L66" s="20"/>
      <c r="M66" s="20"/>
      <c r="R66" s="121">
        <v>1296.0</v>
      </c>
      <c r="S66" s="56">
        <f> -6152624 + 3070*2021 - 5.83*R66</f>
        <v>44290.32</v>
      </c>
      <c r="T66" s="157">
        <v>45600.0</v>
      </c>
      <c r="U66" s="160">
        <f t="shared" si="13"/>
        <v>0.02872105263</v>
      </c>
      <c r="V66" s="161">
        <f t="shared" si="14"/>
        <v>0.02872105263</v>
      </c>
    </row>
    <row r="67">
      <c r="B67" s="57">
        <v>167724.0</v>
      </c>
      <c r="C67" s="57"/>
      <c r="D67" s="57"/>
      <c r="E67" s="57"/>
      <c r="F67" s="57"/>
      <c r="I67" s="20">
        <v>12273.0</v>
      </c>
      <c r="J67" s="20"/>
      <c r="K67" s="20"/>
      <c r="L67" s="20"/>
      <c r="M67" s="20"/>
      <c r="R67" s="122">
        <v>4051.0</v>
      </c>
      <c r="S67" s="56">
        <f> -13669410 + 6875*2021 - 24.8*R67</f>
        <v>124500.2</v>
      </c>
      <c r="T67" s="86">
        <v>120000.0</v>
      </c>
      <c r="U67" s="160">
        <f t="shared" si="13"/>
        <v>-0.03750166667</v>
      </c>
      <c r="V67" s="161">
        <f t="shared" si="14"/>
        <v>0.03750166667</v>
      </c>
    </row>
    <row r="68">
      <c r="R68" s="121">
        <v>3152.0</v>
      </c>
      <c r="S68" s="56">
        <f> -12203904 + 6359*2021 - 176.2*R68</f>
        <v>92252.6</v>
      </c>
      <c r="T68" s="157">
        <v>93560.0</v>
      </c>
      <c r="U68" s="160">
        <f t="shared" si="13"/>
        <v>0.01397392048</v>
      </c>
      <c r="V68" s="161">
        <f t="shared" si="14"/>
        <v>0.01397392048</v>
      </c>
    </row>
    <row r="69">
      <c r="A69" s="65" t="s">
        <v>296</v>
      </c>
      <c r="H69" s="28" t="s">
        <v>379</v>
      </c>
      <c r="R69" s="121">
        <v>2786.0</v>
      </c>
      <c r="S69" s="56">
        <f> -25905300 + 13002*2021 - 75.4*R69</f>
        <v>161677.6</v>
      </c>
      <c r="T69" s="157">
        <v>145600.0</v>
      </c>
      <c r="U69" s="160">
        <f t="shared" si="13"/>
        <v>-0.1104230769</v>
      </c>
      <c r="V69" s="161">
        <f t="shared" si="14"/>
        <v>0.1104230769</v>
      </c>
    </row>
    <row r="70">
      <c r="B70" s="57">
        <v>25800.0</v>
      </c>
      <c r="C70" s="57">
        <v>14458.0</v>
      </c>
      <c r="D70" s="57"/>
      <c r="E70" s="57"/>
      <c r="F70" s="57"/>
      <c r="I70" s="166">
        <v>26783.0</v>
      </c>
      <c r="J70" s="166">
        <v>9500.0</v>
      </c>
      <c r="K70" s="166"/>
      <c r="L70" s="166"/>
      <c r="M70" s="166"/>
      <c r="R70" s="121">
        <v>3008.0</v>
      </c>
      <c r="S70" s="56">
        <f> -9649864 + 4808*2021 + 12.8*R70</f>
        <v>105606.4</v>
      </c>
      <c r="T70" s="157">
        <v>104000.0</v>
      </c>
      <c r="U70" s="160">
        <f t="shared" si="13"/>
        <v>-0.01544615385</v>
      </c>
      <c r="V70" s="161">
        <f t="shared" si="14"/>
        <v>0.01544615385</v>
      </c>
    </row>
    <row r="71">
      <c r="B71" s="57">
        <v>25117.0</v>
      </c>
      <c r="C71" s="57">
        <v>31882.0</v>
      </c>
      <c r="D71" s="57"/>
      <c r="E71" s="57"/>
      <c r="F71" s="57"/>
      <c r="I71" s="20">
        <v>25938.0</v>
      </c>
      <c r="J71" s="20">
        <v>9500.0</v>
      </c>
      <c r="K71" s="20"/>
      <c r="L71" s="20"/>
      <c r="M71" s="20"/>
      <c r="R71" s="122">
        <v>1942.0</v>
      </c>
      <c r="S71" s="56">
        <f> -6106778 + 3230*2021 - 187.3*R71</f>
        <v>57315.4</v>
      </c>
      <c r="T71" s="86">
        <v>56000.0</v>
      </c>
      <c r="U71" s="160">
        <f t="shared" si="13"/>
        <v>-0.02348928571</v>
      </c>
      <c r="V71" s="161">
        <f t="shared" si="14"/>
        <v>0.02348928571</v>
      </c>
    </row>
    <row r="72">
      <c r="B72" s="57">
        <v>22248.0</v>
      </c>
      <c r="C72" s="57">
        <v>42316.0</v>
      </c>
      <c r="D72" s="57"/>
      <c r="E72" s="57"/>
      <c r="F72" s="57"/>
      <c r="I72" s="57">
        <v>110941.0</v>
      </c>
      <c r="J72" s="20">
        <v>11400.0</v>
      </c>
      <c r="K72" s="20"/>
      <c r="L72" s="20"/>
      <c r="M72" s="20"/>
      <c r="R72" s="121">
        <v>9057.0</v>
      </c>
      <c r="S72" s="56">
        <f> -6620414 + 3309*2021 - 2.43*R72</f>
        <v>45066.49</v>
      </c>
      <c r="T72" s="157">
        <v>44500.0</v>
      </c>
      <c r="U72" s="160">
        <f t="shared" si="13"/>
        <v>-0.01273011236</v>
      </c>
      <c r="V72" s="161">
        <f t="shared" si="14"/>
        <v>0.01273011236</v>
      </c>
    </row>
    <row r="73">
      <c r="B73" s="57">
        <v>27917.0</v>
      </c>
      <c r="C73" s="57">
        <v>57815.0</v>
      </c>
      <c r="D73" s="57"/>
      <c r="E73" s="57"/>
      <c r="F73" s="57"/>
      <c r="I73" s="20">
        <v>93998.0</v>
      </c>
      <c r="J73" s="20">
        <v>15000.0</v>
      </c>
      <c r="K73" s="20"/>
      <c r="L73" s="20"/>
      <c r="M73" s="20"/>
      <c r="R73" s="121">
        <v>4578.0</v>
      </c>
      <c r="S73" s="56">
        <f> -24833475 + 12411*2021 - 20.6*R73</f>
        <v>154849.2</v>
      </c>
      <c r="T73" s="157">
        <v>155040.0</v>
      </c>
      <c r="U73" s="160">
        <f t="shared" si="13"/>
        <v>0.001230650155</v>
      </c>
      <c r="V73" s="161">
        <f t="shared" si="14"/>
        <v>0.001230650155</v>
      </c>
    </row>
    <row r="74">
      <c r="B74" s="57">
        <v>32666.0</v>
      </c>
      <c r="C74" s="57"/>
      <c r="D74" s="57"/>
      <c r="E74" s="57"/>
      <c r="F74" s="57"/>
      <c r="I74" s="20">
        <v>94696.0</v>
      </c>
      <c r="J74" s="20"/>
      <c r="K74" s="20"/>
      <c r="L74" s="20"/>
      <c r="M74" s="20"/>
      <c r="R74" s="121">
        <v>6666.0</v>
      </c>
      <c r="S74" s="56">
        <f> -10743275 + 5396*2021 - 9.92* R74</f>
        <v>95914.28</v>
      </c>
      <c r="T74" s="157">
        <v>90420.0</v>
      </c>
      <c r="U74" s="160">
        <f t="shared" si="13"/>
        <v>-0.06076399027</v>
      </c>
      <c r="V74" s="161">
        <f t="shared" si="14"/>
        <v>0.06076399027</v>
      </c>
    </row>
    <row r="75">
      <c r="R75" s="121">
        <v>4254.0</v>
      </c>
      <c r="S75" s="56">
        <f> -7863155 + 3918*2021 + 1.2* R75</f>
        <v>60227.8</v>
      </c>
      <c r="T75" s="157">
        <v>55230.0</v>
      </c>
      <c r="U75" s="160">
        <f t="shared" si="13"/>
        <v>-0.09049067536</v>
      </c>
      <c r="V75" s="161">
        <f t="shared" si="14"/>
        <v>0.09049067536</v>
      </c>
    </row>
    <row r="76">
      <c r="A76" s="69" t="s">
        <v>325</v>
      </c>
      <c r="H76" s="28" t="s">
        <v>384</v>
      </c>
      <c r="R76" s="121">
        <v>4888.0</v>
      </c>
      <c r="S76" s="56">
        <f> -12080540 + 6072*2021 - 18.1*R76</f>
        <v>102499.2</v>
      </c>
      <c r="T76" s="157">
        <v>92000.0</v>
      </c>
      <c r="U76" s="160">
        <f t="shared" si="13"/>
        <v>-0.1141217391</v>
      </c>
      <c r="V76" s="161">
        <f t="shared" si="14"/>
        <v>0.1141217391</v>
      </c>
    </row>
    <row r="77">
      <c r="B77" s="57">
        <v>60186.0</v>
      </c>
      <c r="C77" s="57">
        <v>18900.0</v>
      </c>
      <c r="D77" s="57"/>
      <c r="E77" s="57"/>
      <c r="F77" s="57"/>
      <c r="I77" s="166">
        <v>10286.0</v>
      </c>
      <c r="J77" s="166">
        <v>5800.0</v>
      </c>
      <c r="K77" s="166"/>
      <c r="L77" s="166"/>
      <c r="M77" s="166"/>
      <c r="R77" s="122">
        <v>7543.0</v>
      </c>
      <c r="S77" s="56">
        <f> -24323782 + 12195*2021 - 18.9*R77</f>
        <v>179750.3</v>
      </c>
      <c r="T77" s="86">
        <v>165800.0</v>
      </c>
      <c r="U77" s="160">
        <f t="shared" si="13"/>
        <v>-0.08413932449</v>
      </c>
      <c r="V77" s="161">
        <f t="shared" si="14"/>
        <v>0.08413932449</v>
      </c>
    </row>
    <row r="78">
      <c r="B78" s="57">
        <v>81746.0</v>
      </c>
      <c r="C78" s="57">
        <v>23700.0</v>
      </c>
      <c r="D78" s="57"/>
      <c r="E78" s="57"/>
      <c r="F78" s="57"/>
      <c r="I78" s="166">
        <v>8305.0</v>
      </c>
      <c r="J78" s="166">
        <v>6000.0</v>
      </c>
      <c r="K78" s="166"/>
      <c r="L78" s="166"/>
      <c r="M78" s="166"/>
      <c r="R78" s="121">
        <v>6594.0</v>
      </c>
      <c r="S78" s="56">
        <f> -6211045 + 3112*2021 - 4.48*R78</f>
        <v>48765.88</v>
      </c>
      <c r="T78" s="157">
        <v>46000.0</v>
      </c>
      <c r="U78" s="160">
        <f t="shared" si="13"/>
        <v>-0.06012782609</v>
      </c>
      <c r="V78" s="161">
        <f t="shared" si="14"/>
        <v>0.06012782609</v>
      </c>
    </row>
    <row r="79">
      <c r="B79" s="57">
        <v>92202.0</v>
      </c>
      <c r="C79" s="57">
        <v>35600.0</v>
      </c>
      <c r="D79" s="57"/>
      <c r="E79" s="57"/>
      <c r="F79" s="57"/>
      <c r="I79" s="57">
        <v>28050.0</v>
      </c>
      <c r="J79" s="166">
        <v>7200.0</v>
      </c>
      <c r="K79" s="166"/>
      <c r="L79" s="166"/>
      <c r="M79" s="166"/>
      <c r="R79" s="122">
        <v>7828.0</v>
      </c>
      <c r="S79" s="56">
        <f> -13923616 + 6952*2021 - 5.69*R79</f>
        <v>81834.68</v>
      </c>
      <c r="T79" s="86">
        <v>76500.0</v>
      </c>
      <c r="U79" s="160">
        <f t="shared" si="13"/>
        <v>-0.06973437908</v>
      </c>
      <c r="V79" s="161">
        <f t="shared" si="14"/>
        <v>0.06973437908</v>
      </c>
    </row>
    <row r="80">
      <c r="B80" s="57">
        <v>104421.0</v>
      </c>
      <c r="C80" s="57">
        <v>42000.0</v>
      </c>
      <c r="D80" s="57"/>
      <c r="E80" s="57"/>
      <c r="F80" s="57"/>
      <c r="I80" s="166">
        <v>17331.0</v>
      </c>
      <c r="J80" s="166">
        <v>7700.0</v>
      </c>
      <c r="K80" s="166"/>
      <c r="L80" s="166"/>
      <c r="M80" s="166"/>
      <c r="R80" s="122">
        <v>2828.0</v>
      </c>
      <c r="S80" s="56">
        <f> -7529118 + 4002*2021 - 173.9*R80</f>
        <v>67134.8</v>
      </c>
      <c r="T80" s="86">
        <v>65000.0</v>
      </c>
      <c r="U80" s="160">
        <f t="shared" si="13"/>
        <v>-0.03284307692</v>
      </c>
      <c r="V80" s="161">
        <f t="shared" si="14"/>
        <v>0.03284307692</v>
      </c>
    </row>
    <row r="81">
      <c r="B81" s="57">
        <v>181121.0</v>
      </c>
      <c r="C81" s="57"/>
      <c r="D81" s="57"/>
      <c r="E81" s="57"/>
      <c r="F81" s="57"/>
      <c r="I81" s="166">
        <v>17374.0</v>
      </c>
      <c r="J81" s="166"/>
      <c r="K81" s="166"/>
      <c r="L81" s="166"/>
      <c r="M81" s="166"/>
      <c r="R81" s="121">
        <v>3240.0</v>
      </c>
      <c r="S81" s="56">
        <f> -6331070 + 3135*2021 + 13.6*R81</f>
        <v>48829</v>
      </c>
      <c r="T81" s="157">
        <v>46200.0</v>
      </c>
      <c r="U81" s="160">
        <f t="shared" si="13"/>
        <v>-0.0569047619</v>
      </c>
      <c r="V81" s="161">
        <f t="shared" si="14"/>
        <v>0.0569047619</v>
      </c>
    </row>
    <row r="82">
      <c r="R82" s="121">
        <v>4619.0</v>
      </c>
      <c r="S82" s="56">
        <f> -11608796 + 5832*2021 - 15.9*R82</f>
        <v>104233.9</v>
      </c>
      <c r="T82" s="157">
        <v>92000.0</v>
      </c>
      <c r="U82" s="160">
        <f t="shared" si="13"/>
        <v>-0.1329771739</v>
      </c>
      <c r="V82" s="161">
        <f t="shared" si="14"/>
        <v>0.1329771739</v>
      </c>
    </row>
    <row r="83">
      <c r="H83" s="28" t="s">
        <v>383</v>
      </c>
      <c r="R83" s="121">
        <v>3214.0</v>
      </c>
      <c r="S83" s="56">
        <f> -8787908 + 4428*2021 - 22.2*R83</f>
        <v>89729.2</v>
      </c>
      <c r="T83" s="157">
        <v>82000.0</v>
      </c>
      <c r="U83" s="160">
        <f t="shared" si="13"/>
        <v>-0.09425853659</v>
      </c>
      <c r="V83" s="161">
        <f t="shared" si="14"/>
        <v>0.09425853659</v>
      </c>
    </row>
    <row r="84">
      <c r="A84" s="69" t="s">
        <v>326</v>
      </c>
      <c r="B84" s="57">
        <v>39465.0</v>
      </c>
      <c r="C84" s="57">
        <v>18900.0</v>
      </c>
      <c r="D84" s="57"/>
      <c r="E84" s="57"/>
      <c r="F84" s="57"/>
      <c r="I84" s="166">
        <v>4808.0</v>
      </c>
      <c r="J84" s="166">
        <v>5800.0</v>
      </c>
      <c r="K84" s="166"/>
      <c r="L84" s="166"/>
      <c r="M84" s="166"/>
      <c r="R84" s="121">
        <v>5762.0</v>
      </c>
      <c r="S84" s="56">
        <f> -9096601 + 4556*2021 - 2.45*R84</f>
        <v>96958.1</v>
      </c>
      <c r="T84" s="157">
        <v>97400.0</v>
      </c>
      <c r="U84" s="160">
        <f t="shared" si="13"/>
        <v>0.004536960986</v>
      </c>
      <c r="V84" s="161">
        <f t="shared" si="14"/>
        <v>0.004536960986</v>
      </c>
    </row>
    <row r="85">
      <c r="B85" s="57">
        <v>43845.0</v>
      </c>
      <c r="C85" s="57">
        <v>23700.0</v>
      </c>
      <c r="D85" s="57"/>
      <c r="E85" s="57"/>
      <c r="F85" s="57"/>
      <c r="I85" s="166">
        <v>4127.0</v>
      </c>
      <c r="J85" s="166">
        <v>6000.0</v>
      </c>
      <c r="K85" s="166"/>
      <c r="L85" s="166"/>
      <c r="M85" s="166"/>
      <c r="R85" s="121">
        <v>3747.0</v>
      </c>
      <c r="S85" s="56">
        <f> -11722875 + 6073*2021 - 123*R85</f>
        <v>89777</v>
      </c>
      <c r="T85" s="157">
        <v>85000.0</v>
      </c>
      <c r="U85" s="160">
        <f t="shared" si="13"/>
        <v>-0.0562</v>
      </c>
      <c r="V85" s="161">
        <f t="shared" si="14"/>
        <v>0.0562</v>
      </c>
    </row>
    <row r="86">
      <c r="B86" s="57">
        <v>59038.0</v>
      </c>
      <c r="C86" s="57">
        <v>35600.0</v>
      </c>
      <c r="D86" s="57"/>
      <c r="E86" s="57"/>
      <c r="F86" s="57"/>
      <c r="I86" s="57">
        <v>6365.0</v>
      </c>
      <c r="J86" s="166">
        <v>7200.0</v>
      </c>
      <c r="K86" s="166"/>
      <c r="L86" s="166"/>
      <c r="M86" s="166"/>
      <c r="R86" s="122">
        <v>7441.0</v>
      </c>
      <c r="S86" s="56">
        <f> -9381792 + 4734*2021 - 13.6*R86</f>
        <v>84424.4</v>
      </c>
      <c r="T86" s="86">
        <v>82500.0</v>
      </c>
      <c r="U86" s="160">
        <f t="shared" si="13"/>
        <v>-0.02332606061</v>
      </c>
      <c r="V86" s="161">
        <f t="shared" si="14"/>
        <v>0.02332606061</v>
      </c>
    </row>
    <row r="87">
      <c r="B87" s="57">
        <v>75811.0</v>
      </c>
      <c r="C87" s="57">
        <v>42000.0</v>
      </c>
      <c r="D87" s="57"/>
      <c r="E87" s="57"/>
      <c r="F87" s="57"/>
      <c r="I87" s="166">
        <v>18578.0</v>
      </c>
      <c r="J87" s="166">
        <v>7700.0</v>
      </c>
      <c r="K87" s="166"/>
      <c r="L87" s="166"/>
      <c r="M87" s="166"/>
      <c r="R87" s="121">
        <v>2533.0</v>
      </c>
      <c r="S87" s="56">
        <f> -4883990 + 2429*2021 + 6.5*R87</f>
        <v>41483.5</v>
      </c>
      <c r="T87" s="157">
        <v>39760.0</v>
      </c>
      <c r="U87" s="160">
        <f t="shared" si="13"/>
        <v>-0.04334758551</v>
      </c>
      <c r="V87" s="161">
        <f t="shared" si="14"/>
        <v>0.04334758551</v>
      </c>
    </row>
    <row r="88">
      <c r="B88" s="57">
        <v>135565.0</v>
      </c>
      <c r="C88" s="57"/>
      <c r="D88" s="57"/>
      <c r="E88" s="57"/>
      <c r="F88" s="57"/>
      <c r="I88" s="166">
        <v>18600.0</v>
      </c>
      <c r="J88" s="166"/>
      <c r="K88" s="166"/>
      <c r="L88" s="166"/>
      <c r="M88" s="166"/>
      <c r="R88" s="121">
        <v>3978.0</v>
      </c>
      <c r="S88" s="56">
        <f> -3059239 + 1514*2021 + 7*R88</f>
        <v>28401</v>
      </c>
      <c r="T88" s="157">
        <v>30000.0</v>
      </c>
      <c r="U88" s="160">
        <f t="shared" si="13"/>
        <v>0.0533</v>
      </c>
      <c r="V88" s="161">
        <f t="shared" si="14"/>
        <v>0.0533</v>
      </c>
    </row>
    <row r="89">
      <c r="R89" s="122">
        <v>5290.0</v>
      </c>
      <c r="S89" s="56">
        <f> -21165360 + 10538*2021 + 5.59*R89</f>
        <v>161509.1</v>
      </c>
      <c r="T89" s="86">
        <v>161500.0</v>
      </c>
      <c r="U89" s="160">
        <f t="shared" si="13"/>
        <v>-0.00005634674923</v>
      </c>
      <c r="V89" s="161">
        <f t="shared" si="14"/>
        <v>0.00005634674923</v>
      </c>
    </row>
    <row r="90">
      <c r="A90" s="65" t="s">
        <v>301</v>
      </c>
      <c r="H90" s="28" t="s">
        <v>374</v>
      </c>
      <c r="R90" s="122">
        <v>8941.0</v>
      </c>
      <c r="S90" s="56">
        <f> -14992467 + 7495*2021 - 1.79*R90</f>
        <v>138923.61</v>
      </c>
      <c r="T90" s="86">
        <v>132000.0</v>
      </c>
      <c r="U90" s="160">
        <f t="shared" si="13"/>
        <v>-0.05245159091</v>
      </c>
      <c r="V90" s="161">
        <f t="shared" si="14"/>
        <v>0.05245159091</v>
      </c>
    </row>
    <row r="91">
      <c r="B91" s="57">
        <v>34680.0</v>
      </c>
      <c r="C91" s="57">
        <v>20820.0</v>
      </c>
      <c r="D91" s="57"/>
      <c r="E91" s="57"/>
      <c r="F91" s="57"/>
      <c r="I91" s="166">
        <v>58130.0</v>
      </c>
      <c r="J91" s="166">
        <v>7650.0</v>
      </c>
      <c r="K91" s="166"/>
      <c r="L91" s="166"/>
      <c r="M91" s="166"/>
      <c r="R91" s="121">
        <v>4272.0</v>
      </c>
      <c r="S91" s="56">
        <f> -4596740 + 2296*2021 + 5.72*R91</f>
        <v>67911.84</v>
      </c>
      <c r="T91" s="157">
        <v>67800.0</v>
      </c>
      <c r="U91" s="160">
        <f t="shared" si="13"/>
        <v>-0.001649557522</v>
      </c>
      <c r="V91" s="161">
        <f t="shared" si="14"/>
        <v>0.001649557522</v>
      </c>
    </row>
    <row r="92">
      <c r="B92" s="57">
        <v>35131.0</v>
      </c>
      <c r="C92" s="57">
        <v>32440.0</v>
      </c>
      <c r="D92" s="57"/>
      <c r="E92" s="57"/>
      <c r="F92" s="57"/>
      <c r="I92" s="166">
        <v>50754.0</v>
      </c>
      <c r="J92" s="166">
        <v>7750.0</v>
      </c>
      <c r="K92" s="166"/>
      <c r="L92" s="166"/>
      <c r="M92" s="166"/>
      <c r="R92" s="121">
        <v>3808.0</v>
      </c>
      <c r="S92" s="56">
        <f> -2897372 + 1439*2021 + 9.3*R92</f>
        <v>46261.4</v>
      </c>
      <c r="T92" s="157">
        <v>46500.0</v>
      </c>
      <c r="U92" s="160">
        <f t="shared" si="13"/>
        <v>0.005131182796</v>
      </c>
      <c r="V92" s="161">
        <f t="shared" si="14"/>
        <v>0.005131182796</v>
      </c>
    </row>
    <row r="93">
      <c r="B93" s="57">
        <v>32431.0</v>
      </c>
      <c r="C93" s="57">
        <v>42065.0</v>
      </c>
      <c r="D93" s="57"/>
      <c r="E93" s="57"/>
      <c r="F93" s="57"/>
      <c r="I93" s="166">
        <v>95775.0</v>
      </c>
      <c r="J93" s="166">
        <v>9300.0</v>
      </c>
      <c r="K93" s="166"/>
      <c r="L93" s="166"/>
      <c r="M93" s="166"/>
      <c r="R93" s="121">
        <v>5777.0</v>
      </c>
      <c r="S93" s="56">
        <f> -7674346 + 3891*2021 - 22*R93</f>
        <v>62271</v>
      </c>
      <c r="T93" s="157">
        <v>62000.0</v>
      </c>
      <c r="U93" s="160">
        <f t="shared" si="13"/>
        <v>-0.004370967742</v>
      </c>
      <c r="V93" s="161">
        <f t="shared" si="14"/>
        <v>0.004370967742</v>
      </c>
    </row>
    <row r="94">
      <c r="B94" s="57">
        <v>35684.0</v>
      </c>
      <c r="C94" s="57">
        <v>57178.0</v>
      </c>
      <c r="D94" s="57"/>
      <c r="E94" s="57"/>
      <c r="F94" s="57"/>
      <c r="I94" s="20">
        <v>82963.0</v>
      </c>
      <c r="J94" s="166">
        <v>11350.0</v>
      </c>
      <c r="K94" s="166"/>
      <c r="L94" s="166"/>
      <c r="M94" s="166"/>
      <c r="R94" s="121">
        <v>3927.0</v>
      </c>
      <c r="S94" s="56">
        <f> -8463334 + 4194*2021 + 9.17*R94</f>
        <v>48750.59</v>
      </c>
      <c r="T94" s="157">
        <v>50180.0</v>
      </c>
      <c r="U94" s="160">
        <f t="shared" si="13"/>
        <v>0.02848565165</v>
      </c>
      <c r="V94" s="161">
        <f t="shared" si="14"/>
        <v>0.02848565165</v>
      </c>
    </row>
    <row r="95">
      <c r="B95" s="57">
        <v>36683.0</v>
      </c>
      <c r="C95" s="57"/>
      <c r="D95" s="57"/>
      <c r="E95" s="57"/>
      <c r="F95" s="57"/>
      <c r="I95" s="166">
        <v>83033.0</v>
      </c>
      <c r="J95" s="166"/>
      <c r="K95" s="166"/>
      <c r="L95" s="166"/>
      <c r="M95" s="166"/>
      <c r="R95" s="121">
        <v>7301.0</v>
      </c>
      <c r="S95" s="56">
        <f> -4315325 + 2167*2021 - 4.98*R95</f>
        <v>27823.02</v>
      </c>
      <c r="T95" s="157">
        <v>28900.0</v>
      </c>
      <c r="U95" s="160">
        <f t="shared" si="13"/>
        <v>0.03726574394</v>
      </c>
      <c r="V95" s="161">
        <f t="shared" si="14"/>
        <v>0.03726574394</v>
      </c>
    </row>
    <row r="96">
      <c r="R96" s="121">
        <v>1570.0</v>
      </c>
      <c r="S96" s="56">
        <f> -6210713 + 3175*2021 - 102*R96</f>
        <v>45822</v>
      </c>
      <c r="T96" s="157">
        <v>44800.0</v>
      </c>
      <c r="U96" s="160">
        <f t="shared" si="13"/>
        <v>-0.0228125</v>
      </c>
      <c r="V96" s="161">
        <f t="shared" si="14"/>
        <v>0.0228125</v>
      </c>
    </row>
    <row r="97">
      <c r="A97" s="65" t="s">
        <v>305</v>
      </c>
      <c r="R97" s="122">
        <v>3210.0</v>
      </c>
      <c r="S97" s="56">
        <f> -14981424 + 7576*2021 - 65.2*R97</f>
        <v>120380</v>
      </c>
      <c r="T97" s="157">
        <v>120000.0</v>
      </c>
      <c r="U97" s="160">
        <f t="shared" si="13"/>
        <v>-0.003166666667</v>
      </c>
      <c r="V97" s="161">
        <f t="shared" si="14"/>
        <v>0.003166666667</v>
      </c>
    </row>
    <row r="98">
      <c r="B98" s="57">
        <v>61051.0</v>
      </c>
      <c r="C98" s="57">
        <v>20820.0</v>
      </c>
      <c r="D98" s="57"/>
      <c r="E98" s="57"/>
      <c r="F98" s="57"/>
      <c r="R98" s="121">
        <v>2880.0</v>
      </c>
      <c r="S98" s="56">
        <f> -9050027 + 4447*2021 + 37*R98</f>
        <v>43920</v>
      </c>
      <c r="T98" s="157">
        <v>30850.0</v>
      </c>
      <c r="U98" s="168">
        <f t="shared" si="13"/>
        <v>-0.4236628849</v>
      </c>
      <c r="V98" s="161">
        <f t="shared" si="14"/>
        <v>0.4236628849</v>
      </c>
    </row>
    <row r="99">
      <c r="B99" s="57">
        <v>66047.0</v>
      </c>
      <c r="C99" s="57">
        <v>32440.0</v>
      </c>
      <c r="D99" s="57"/>
      <c r="E99" s="57"/>
      <c r="F99" s="57"/>
      <c r="R99" s="121">
        <v>4076.0</v>
      </c>
      <c r="S99" s="56">
        <f> -7109529 + 3603*2021 - 24*R99</f>
        <v>74310</v>
      </c>
      <c r="T99" s="157">
        <v>72400.0</v>
      </c>
      <c r="U99" s="160">
        <f t="shared" si="13"/>
        <v>-0.02638121547</v>
      </c>
      <c r="V99" s="161">
        <f t="shared" si="14"/>
        <v>0.02638121547</v>
      </c>
    </row>
    <row r="100">
      <c r="B100" s="57">
        <v>71129.0</v>
      </c>
      <c r="C100" s="57">
        <v>42065.0</v>
      </c>
      <c r="D100" s="57"/>
      <c r="E100" s="57"/>
      <c r="F100" s="57"/>
      <c r="R100" s="122">
        <v>5282.0</v>
      </c>
      <c r="S100" s="56">
        <f> -17226044 + 8722*2021 - 51.3*R100</f>
        <v>130151.4</v>
      </c>
      <c r="T100" s="86">
        <v>119000.0</v>
      </c>
      <c r="U100" s="160">
        <f t="shared" si="13"/>
        <v>-0.0937092437</v>
      </c>
      <c r="V100" s="161">
        <f t="shared" si="14"/>
        <v>0.0937092437</v>
      </c>
    </row>
    <row r="101">
      <c r="B101" s="57">
        <v>82499.0</v>
      </c>
      <c r="C101" s="57">
        <v>57178.0</v>
      </c>
      <c r="D101" s="57"/>
      <c r="E101" s="57"/>
      <c r="F101" s="57"/>
      <c r="R101" s="121">
        <v>8348.0</v>
      </c>
      <c r="S101" s="56">
        <f> -5360087 + 2667.2*2021 + 1.68*R101</f>
        <v>44348.84</v>
      </c>
      <c r="T101" s="157">
        <v>44600.0</v>
      </c>
      <c r="U101" s="160">
        <f t="shared" si="13"/>
        <v>0.005631390135</v>
      </c>
      <c r="V101" s="161">
        <f t="shared" si="14"/>
        <v>0.005631390135</v>
      </c>
    </row>
    <row r="102">
      <c r="B102" s="57">
        <v>96228.0</v>
      </c>
      <c r="C102" s="57"/>
      <c r="D102" s="57"/>
      <c r="E102" s="57"/>
      <c r="F102" s="57"/>
      <c r="R102" s="121">
        <v>3024.0</v>
      </c>
      <c r="S102" s="56">
        <f> -12683256 + 6398*2021 - 53.9*R102</f>
        <v>84108.4</v>
      </c>
      <c r="T102" s="157">
        <v>78200.0</v>
      </c>
      <c r="U102" s="160">
        <f t="shared" si="13"/>
        <v>-0.07555498721</v>
      </c>
      <c r="V102" s="161">
        <f t="shared" si="14"/>
        <v>0.07555498721</v>
      </c>
    </row>
    <row r="103">
      <c r="R103" s="121">
        <v>3420.0</v>
      </c>
      <c r="S103" s="56">
        <f> -12618379 + 6542*2021 - 151*R103</f>
        <v>86583</v>
      </c>
      <c r="T103" s="157">
        <v>77250.0</v>
      </c>
      <c r="U103" s="160">
        <f t="shared" si="13"/>
        <v>-0.120815534</v>
      </c>
      <c r="V103" s="161">
        <f t="shared" si="14"/>
        <v>0.120815534</v>
      </c>
    </row>
    <row r="104">
      <c r="A104" s="65" t="s">
        <v>302</v>
      </c>
      <c r="R104" s="121">
        <v>3748.0</v>
      </c>
      <c r="S104" s="56">
        <f> -4558311 + 2220*2021 + 32.5*R104</f>
        <v>50119</v>
      </c>
      <c r="T104" s="157">
        <v>54350.0</v>
      </c>
      <c r="U104" s="160">
        <f t="shared" si="13"/>
        <v>0.07784728611</v>
      </c>
      <c r="V104" s="161">
        <f t="shared" si="14"/>
        <v>0.07784728611</v>
      </c>
    </row>
    <row r="105">
      <c r="B105" s="57">
        <v>10092.0</v>
      </c>
      <c r="C105" s="57">
        <v>20820.0</v>
      </c>
      <c r="D105" s="57"/>
      <c r="E105" s="57"/>
      <c r="F105" s="57"/>
      <c r="R105" s="121">
        <v>4322.0</v>
      </c>
      <c r="S105" s="56">
        <f> -6651802 + 3539*2021 - 105.5*R105</f>
        <v>44546</v>
      </c>
      <c r="T105" s="157">
        <v>45000.0</v>
      </c>
      <c r="U105" s="160">
        <f t="shared" si="13"/>
        <v>0.01008888889</v>
      </c>
      <c r="V105" s="161">
        <f t="shared" si="14"/>
        <v>0.01008888889</v>
      </c>
    </row>
    <row r="106">
      <c r="B106" s="57">
        <v>5429.0</v>
      </c>
      <c r="C106" s="57">
        <v>32440.0</v>
      </c>
      <c r="D106" s="57"/>
      <c r="E106" s="57"/>
      <c r="F106" s="57"/>
      <c r="R106" s="121">
        <v>2131.0</v>
      </c>
      <c r="S106" s="56">
        <f> -6229520 + 3172*2021 - 68.1*R106</f>
        <v>35970.9</v>
      </c>
      <c r="T106" s="157">
        <v>36750.0</v>
      </c>
      <c r="U106" s="160">
        <f t="shared" si="13"/>
        <v>0.0212</v>
      </c>
      <c r="V106" s="161">
        <f t="shared" si="14"/>
        <v>0.0212</v>
      </c>
    </row>
    <row r="107">
      <c r="B107" s="57">
        <v>27.0</v>
      </c>
      <c r="C107" s="57">
        <v>42065.0</v>
      </c>
      <c r="D107" s="57"/>
      <c r="E107" s="57"/>
      <c r="F107" s="57"/>
      <c r="R107" s="121">
        <v>7413.0</v>
      </c>
      <c r="S107" s="56">
        <f> -8214035 + 4053.7*2021 + 12.82*R107</f>
        <v>73527.36</v>
      </c>
      <c r="T107" s="157">
        <v>75000.0</v>
      </c>
      <c r="U107" s="160">
        <f t="shared" si="13"/>
        <v>0.0196352</v>
      </c>
      <c r="V107" s="161">
        <f t="shared" si="14"/>
        <v>0.0196352</v>
      </c>
    </row>
    <row r="108">
      <c r="B108" s="57">
        <v>13763.0</v>
      </c>
      <c r="C108" s="57">
        <v>57178.0</v>
      </c>
      <c r="D108" s="57"/>
      <c r="E108" s="57"/>
      <c r="F108" s="57"/>
      <c r="R108" s="121">
        <v>5816.0</v>
      </c>
      <c r="S108" s="56">
        <f> -7117261 + 3548*2021 - 0.09*R108</f>
        <v>52723.56</v>
      </c>
      <c r="T108" s="157">
        <v>52500.0</v>
      </c>
      <c r="U108" s="160">
        <f t="shared" si="13"/>
        <v>-0.004258285714</v>
      </c>
      <c r="V108" s="161">
        <f t="shared" si="14"/>
        <v>0.004258285714</v>
      </c>
    </row>
    <row r="109">
      <c r="B109" s="57">
        <v>15159.0</v>
      </c>
      <c r="C109" s="57"/>
      <c r="D109" s="57"/>
      <c r="E109" s="57"/>
      <c r="F109" s="57"/>
      <c r="R109" s="121">
        <v>2271.0</v>
      </c>
      <c r="S109" s="56">
        <f> -10456557 + 5011*2021 + 175*R109</f>
        <v>68099</v>
      </c>
      <c r="T109" s="157">
        <v>74800.0</v>
      </c>
      <c r="U109" s="160">
        <f t="shared" si="13"/>
        <v>0.0895855615</v>
      </c>
      <c r="V109" s="161">
        <f t="shared" si="14"/>
        <v>0.0895855615</v>
      </c>
    </row>
    <row r="110">
      <c r="R110" s="121">
        <v>3063.0</v>
      </c>
      <c r="S110" s="56">
        <f> -10001247 + 5037.9*2021 - 31.77*R110</f>
        <v>83037.39</v>
      </c>
      <c r="T110" s="157">
        <v>83590.0</v>
      </c>
      <c r="U110" s="160">
        <f t="shared" si="13"/>
        <v>0.006610958249</v>
      </c>
      <c r="V110" s="161">
        <f t="shared" si="14"/>
        <v>0.006610958249</v>
      </c>
    </row>
    <row r="111">
      <c r="A111" s="65" t="s">
        <v>300</v>
      </c>
      <c r="R111" s="121">
        <v>1410.0</v>
      </c>
      <c r="S111" s="56">
        <f> -4552011 + 2524*2021 - 362*R111</f>
        <v>38573</v>
      </c>
      <c r="T111" s="157">
        <v>39760.0</v>
      </c>
      <c r="U111" s="160">
        <f t="shared" si="13"/>
        <v>0.02985412475</v>
      </c>
      <c r="V111" s="161">
        <f t="shared" si="14"/>
        <v>0.02985412475</v>
      </c>
    </row>
    <row r="112">
      <c r="B112" s="57">
        <v>18980.0</v>
      </c>
      <c r="C112" s="57">
        <v>20820.0</v>
      </c>
      <c r="D112" s="57"/>
      <c r="E112" s="57"/>
      <c r="F112" s="57"/>
      <c r="R112" s="121">
        <v>6347.0</v>
      </c>
      <c r="S112" s="56">
        <f> -5268673 + 2630*2021 + 1.99*R112</f>
        <v>59187.53</v>
      </c>
      <c r="T112" s="157">
        <v>61600.0</v>
      </c>
      <c r="U112" s="160">
        <f t="shared" si="13"/>
        <v>0.03916347403</v>
      </c>
      <c r="V112" s="161">
        <f t="shared" si="14"/>
        <v>0.03916347403</v>
      </c>
    </row>
    <row r="113">
      <c r="B113" s="57">
        <v>18568.0</v>
      </c>
      <c r="C113" s="57">
        <v>32440.0</v>
      </c>
      <c r="D113" s="57"/>
      <c r="E113" s="57"/>
      <c r="F113" s="57"/>
      <c r="R113" s="121">
        <v>2151.0</v>
      </c>
      <c r="S113" s="56">
        <f> -16062816 + 7956*2021 + 34*R113</f>
        <v>89394</v>
      </c>
      <c r="T113" s="157">
        <v>95790.0</v>
      </c>
      <c r="U113" s="160">
        <f t="shared" si="13"/>
        <v>0.0667710617</v>
      </c>
      <c r="V113" s="161">
        <f t="shared" si="14"/>
        <v>0.0667710617</v>
      </c>
    </row>
    <row r="114">
      <c r="B114" s="57">
        <v>16039.0</v>
      </c>
      <c r="C114" s="57">
        <v>42065.0</v>
      </c>
      <c r="D114" s="57"/>
      <c r="E114" s="57"/>
      <c r="F114" s="57"/>
      <c r="R114" s="121">
        <v>6650.0</v>
      </c>
      <c r="S114" s="56">
        <f> -2650088 + 1312*2021 + 6.337*R114</f>
        <v>43605.05</v>
      </c>
      <c r="T114" s="157">
        <v>44500.0</v>
      </c>
      <c r="U114" s="160">
        <f t="shared" si="13"/>
        <v>0.02011123596</v>
      </c>
      <c r="V114" s="161">
        <f t="shared" si="14"/>
        <v>0.02011123596</v>
      </c>
    </row>
    <row r="115">
      <c r="B115" s="57">
        <v>36634.0</v>
      </c>
      <c r="C115" s="57">
        <v>57178.0</v>
      </c>
      <c r="D115" s="57"/>
      <c r="E115" s="57"/>
      <c r="F115" s="57"/>
      <c r="R115" s="122">
        <v>3438.0</v>
      </c>
      <c r="S115" s="56">
        <f> -15278437 + 7842*2021 - 131.6*R115</f>
        <v>117804.2</v>
      </c>
      <c r="T115" s="86">
        <v>112000.0</v>
      </c>
      <c r="U115" s="160">
        <f t="shared" si="13"/>
        <v>-0.05182321429</v>
      </c>
      <c r="V115" s="161">
        <f t="shared" si="14"/>
        <v>0.05182321429</v>
      </c>
    </row>
    <row r="116">
      <c r="B116" s="57">
        <v>79357.0</v>
      </c>
      <c r="C116" s="57"/>
      <c r="D116" s="57"/>
      <c r="E116" s="57"/>
      <c r="F116" s="57"/>
      <c r="R116" s="121">
        <v>2840.0</v>
      </c>
      <c r="S116" s="56">
        <f> -13949970 + 7025*2021 - 54.6*R116</f>
        <v>92491</v>
      </c>
      <c r="T116" s="157">
        <v>92340.0</v>
      </c>
      <c r="U116" s="160">
        <f t="shared" si="13"/>
        <v>-0.001635260992</v>
      </c>
      <c r="V116" s="161">
        <f t="shared" si="14"/>
        <v>0.001635260992</v>
      </c>
    </row>
    <row r="117">
      <c r="R117" s="121">
        <v>3258.0</v>
      </c>
      <c r="S117" s="56">
        <f> -7047086 + 3510*2021 + 1.4*R117</f>
        <v>51185.2</v>
      </c>
      <c r="T117" s="157">
        <v>52250.0</v>
      </c>
      <c r="U117" s="160">
        <f t="shared" si="13"/>
        <v>0.02037894737</v>
      </c>
      <c r="V117" s="161">
        <f t="shared" si="14"/>
        <v>0.02037894737</v>
      </c>
    </row>
    <row r="118">
      <c r="A118" s="65" t="s">
        <v>304</v>
      </c>
      <c r="R118" s="121">
        <v>1639.0</v>
      </c>
      <c r="S118" s="56">
        <f> -6000104 + 2999*2021 - 9.3*R118</f>
        <v>45632.3</v>
      </c>
      <c r="T118" s="157">
        <v>45600.0</v>
      </c>
      <c r="U118" s="160">
        <f t="shared" si="13"/>
        <v>-0.0007083333333</v>
      </c>
      <c r="V118" s="161">
        <f t="shared" si="14"/>
        <v>0.0007083333333</v>
      </c>
    </row>
    <row r="119">
      <c r="B119" s="57">
        <v>84406.0</v>
      </c>
      <c r="C119" s="57">
        <v>20820.0</v>
      </c>
      <c r="D119" s="57"/>
      <c r="E119" s="57"/>
      <c r="F119" s="57"/>
      <c r="R119" s="121">
        <v>4204.0</v>
      </c>
      <c r="S119" s="56">
        <f> -454582 + 228*2021 + 2.66*R119</f>
        <v>17388.64</v>
      </c>
      <c r="T119" s="157">
        <v>20600.0</v>
      </c>
      <c r="U119" s="160">
        <f t="shared" si="13"/>
        <v>0.1558912621</v>
      </c>
      <c r="V119" s="161">
        <f t="shared" si="14"/>
        <v>0.1558912621</v>
      </c>
    </row>
    <row r="120">
      <c r="B120" s="57">
        <v>94191.0</v>
      </c>
      <c r="C120" s="57">
        <v>32440.0</v>
      </c>
      <c r="D120" s="57"/>
      <c r="E120" s="57"/>
      <c r="F120" s="57"/>
      <c r="R120" s="121">
        <v>3108.0</v>
      </c>
      <c r="S120" s="56">
        <f> -6406185 + 3216*2021 - 20.05*R120</f>
        <v>31035.6</v>
      </c>
      <c r="T120" s="157">
        <v>31600.0</v>
      </c>
      <c r="U120" s="160">
        <f t="shared" si="13"/>
        <v>0.01786075949</v>
      </c>
      <c r="V120" s="161">
        <f t="shared" si="14"/>
        <v>0.01786075949</v>
      </c>
    </row>
    <row r="121">
      <c r="B121" s="57">
        <v>93703.0</v>
      </c>
      <c r="C121" s="57">
        <v>42065.0</v>
      </c>
      <c r="D121" s="57"/>
      <c r="E121" s="57"/>
      <c r="F121" s="57"/>
      <c r="R121" s="121">
        <v>12815.0</v>
      </c>
      <c r="S121" s="56">
        <f> -8413495 + 4202.2*2021 + 0.2683*R121</f>
        <v>82589.4645</v>
      </c>
      <c r="T121" s="157">
        <v>82700.0</v>
      </c>
      <c r="U121" s="160">
        <f t="shared" si="13"/>
        <v>0.001336584039</v>
      </c>
      <c r="V121" s="161">
        <f t="shared" si="14"/>
        <v>0.001336584039</v>
      </c>
    </row>
    <row r="122">
      <c r="B122" s="57">
        <v>113012.0</v>
      </c>
      <c r="C122" s="57">
        <v>57178.0</v>
      </c>
      <c r="D122" s="57"/>
      <c r="E122" s="57"/>
      <c r="F122" s="57"/>
      <c r="R122" s="121">
        <v>3099.0</v>
      </c>
      <c r="S122" s="56">
        <f> -2678854 + 1252*2021 + 62.1*R122</f>
        <v>43885.9</v>
      </c>
      <c r="T122" s="157">
        <v>45750.0</v>
      </c>
      <c r="U122" s="160">
        <f t="shared" si="13"/>
        <v>0.04074535519</v>
      </c>
      <c r="V122" s="161">
        <f t="shared" si="14"/>
        <v>0.04074535519</v>
      </c>
    </row>
    <row r="123">
      <c r="B123" s="57">
        <v>134203.0</v>
      </c>
      <c r="C123" s="57"/>
      <c r="D123" s="57"/>
      <c r="E123" s="57"/>
      <c r="F123" s="57"/>
      <c r="R123" s="121">
        <v>4727.0</v>
      </c>
      <c r="S123" s="56">
        <f> -7116275 + 3622*2021 - 32.3*R123</f>
        <v>51104.9</v>
      </c>
      <c r="T123" s="157">
        <v>50000.0</v>
      </c>
      <c r="U123" s="160">
        <f t="shared" si="13"/>
        <v>-0.022098</v>
      </c>
      <c r="V123" s="161">
        <f t="shared" si="14"/>
        <v>0.022098</v>
      </c>
    </row>
    <row r="124">
      <c r="R124" s="121">
        <v>14985.0</v>
      </c>
      <c r="S124" s="56">
        <f> -5847917 + 2892*2021 + 5.04*R124</f>
        <v>72339.4</v>
      </c>
      <c r="T124" s="157">
        <v>74800.0</v>
      </c>
      <c r="U124" s="160">
        <f t="shared" si="13"/>
        <v>0.03289572193</v>
      </c>
      <c r="V124" s="161">
        <f t="shared" si="14"/>
        <v>0.03289572193</v>
      </c>
    </row>
    <row r="125">
      <c r="A125" s="65" t="s">
        <v>303</v>
      </c>
      <c r="R125" s="122">
        <v>8714.0</v>
      </c>
      <c r="S125" s="56">
        <f> -16748998 + 8373*2021 - 6.6*R125</f>
        <v>115322.6</v>
      </c>
      <c r="T125" s="86">
        <v>112000.0</v>
      </c>
      <c r="U125" s="160">
        <f t="shared" si="13"/>
        <v>-0.02966607143</v>
      </c>
      <c r="V125" s="161">
        <f t="shared" si="14"/>
        <v>0.02966607143</v>
      </c>
    </row>
    <row r="126">
      <c r="B126" s="57">
        <v>15710.0</v>
      </c>
      <c r="C126" s="57">
        <v>20820.0</v>
      </c>
      <c r="D126" s="57"/>
      <c r="E126" s="57"/>
      <c r="F126" s="57"/>
      <c r="R126" s="122">
        <v>1888.0</v>
      </c>
      <c r="S126" s="56">
        <f> -10731468 + 5742*2021 - 422*R126</f>
        <v>76378</v>
      </c>
      <c r="T126" s="86">
        <v>74300.0</v>
      </c>
      <c r="U126" s="160">
        <f t="shared" si="13"/>
        <v>-0.02796769852</v>
      </c>
      <c r="V126" s="161">
        <f t="shared" si="14"/>
        <v>0.02796769852</v>
      </c>
    </row>
    <row r="127">
      <c r="B127" s="57">
        <v>16635.0</v>
      </c>
      <c r="C127" s="57">
        <v>32440.0</v>
      </c>
      <c r="D127" s="57"/>
      <c r="E127" s="57"/>
      <c r="F127" s="57"/>
      <c r="R127" s="122">
        <v>3270.0</v>
      </c>
      <c r="S127" s="56">
        <f> -13135721 + 6573*2021 - 16.5*R127</f>
        <v>94357</v>
      </c>
      <c r="T127" s="86">
        <v>95790.0</v>
      </c>
      <c r="U127" s="160">
        <f t="shared" si="13"/>
        <v>0.01495980791</v>
      </c>
      <c r="V127" s="161">
        <f t="shared" si="14"/>
        <v>0.01495980791</v>
      </c>
    </row>
    <row r="128">
      <c r="B128" s="57">
        <v>14827.0</v>
      </c>
      <c r="C128" s="57">
        <v>42065.0</v>
      </c>
      <c r="D128" s="57"/>
      <c r="E128" s="57"/>
      <c r="F128" s="57"/>
      <c r="R128" s="121">
        <v>2762.0</v>
      </c>
      <c r="S128" s="56">
        <f> -960917 + 485*2021 + 14.94*R128</f>
        <v>60532.28</v>
      </c>
      <c r="T128" s="157">
        <v>59500.0</v>
      </c>
      <c r="U128" s="160">
        <f t="shared" si="13"/>
        <v>-0.0173492437</v>
      </c>
      <c r="V128" s="161">
        <f t="shared" si="14"/>
        <v>0.0173492437</v>
      </c>
    </row>
    <row r="129">
      <c r="B129" s="57">
        <v>16673.0</v>
      </c>
      <c r="C129" s="57">
        <v>57178.0</v>
      </c>
      <c r="D129" s="57"/>
      <c r="E129" s="57"/>
      <c r="F129" s="57"/>
      <c r="R129" s="122">
        <v>3553.0</v>
      </c>
      <c r="S129" s="56">
        <f> -7827931 + 4016*2021 - 62*R129</f>
        <v>68119</v>
      </c>
      <c r="T129" s="86">
        <v>63000.0</v>
      </c>
      <c r="U129" s="160">
        <f t="shared" si="13"/>
        <v>-0.08125396825</v>
      </c>
      <c r="V129" s="161">
        <f t="shared" si="14"/>
        <v>0.08125396825</v>
      </c>
    </row>
    <row r="130">
      <c r="B130" s="57">
        <v>16911.0</v>
      </c>
      <c r="C130" s="57"/>
      <c r="D130" s="57"/>
      <c r="E130" s="57"/>
      <c r="F130" s="57"/>
      <c r="R130" s="121">
        <v>4446.0</v>
      </c>
      <c r="S130" s="56">
        <f> -8235959 + 4164*2021 - 26.2*R130</f>
        <v>62999.8</v>
      </c>
      <c r="T130" s="157">
        <v>95790.0</v>
      </c>
      <c r="U130" s="171">
        <f t="shared" si="13"/>
        <v>0.3423133939</v>
      </c>
      <c r="V130" s="161">
        <f t="shared" si="14"/>
        <v>0.3423133939</v>
      </c>
    </row>
    <row r="131">
      <c r="R131" s="121">
        <v>5143.0</v>
      </c>
      <c r="S131" s="56">
        <f> -6177054 + 3083.7*2021 - 3.17*R131</f>
        <v>38800.39</v>
      </c>
      <c r="T131" s="157">
        <v>39300.0</v>
      </c>
      <c r="U131" s="160">
        <f t="shared" si="13"/>
        <v>0.01271272265</v>
      </c>
      <c r="V131" s="161">
        <f t="shared" si="14"/>
        <v>0.01271272265</v>
      </c>
    </row>
    <row r="132">
      <c r="A132" s="65" t="s">
        <v>346</v>
      </c>
      <c r="R132" s="121">
        <v>3948.0</v>
      </c>
      <c r="S132" s="56">
        <f> -6663540 + 3345*2021 - 7*R132</f>
        <v>69069</v>
      </c>
      <c r="T132" s="157">
        <v>62000.0</v>
      </c>
      <c r="U132" s="160">
        <f t="shared" si="13"/>
        <v>-0.114016129</v>
      </c>
      <c r="V132" s="161">
        <f t="shared" si="14"/>
        <v>0.114016129</v>
      </c>
    </row>
    <row r="133">
      <c r="B133" s="57">
        <v>10246.0</v>
      </c>
      <c r="C133" s="172">
        <v>5382.0</v>
      </c>
      <c r="D133" s="172"/>
      <c r="E133" s="172"/>
      <c r="F133" s="172"/>
      <c r="R133" s="121">
        <v>4168.0</v>
      </c>
      <c r="S133" s="56">
        <f> -24588435 + 12266*2021 - 10.7*R133</f>
        <v>156553.4</v>
      </c>
      <c r="T133" s="157">
        <v>155040.0</v>
      </c>
      <c r="U133" s="160">
        <f t="shared" si="13"/>
        <v>-0.009761351909</v>
      </c>
      <c r="V133" s="161">
        <f t="shared" si="14"/>
        <v>0.009761351909</v>
      </c>
    </row>
    <row r="134">
      <c r="B134" s="57">
        <v>6480.0</v>
      </c>
      <c r="C134" s="121">
        <v>12528.0</v>
      </c>
      <c r="D134" s="121"/>
      <c r="E134" s="121"/>
      <c r="F134" s="121"/>
      <c r="R134" s="121">
        <v>5786.0</v>
      </c>
      <c r="S134" s="56">
        <f> -3751887 + 1872.7*2021 + 2.93*R134</f>
        <v>49792.68</v>
      </c>
      <c r="T134" s="157">
        <v>50000.0</v>
      </c>
      <c r="U134" s="160">
        <f t="shared" si="13"/>
        <v>0.0041464</v>
      </c>
      <c r="V134" s="161">
        <f t="shared" si="14"/>
        <v>0.0041464</v>
      </c>
    </row>
    <row r="135">
      <c r="B135" s="57">
        <v>7384.0</v>
      </c>
      <c r="C135" s="121">
        <v>21000.0</v>
      </c>
      <c r="D135" s="121"/>
      <c r="E135" s="121"/>
      <c r="F135" s="121"/>
      <c r="R135" s="122">
        <v>5354.0</v>
      </c>
      <c r="S135" s="56">
        <f> -11521638 + 5776*2021 - 4.57*R135</f>
        <v>127190.22</v>
      </c>
      <c r="T135" s="86">
        <v>127300.0</v>
      </c>
      <c r="U135" s="160">
        <f t="shared" si="13"/>
        <v>0.0008623723488</v>
      </c>
      <c r="V135" s="161">
        <f t="shared" si="14"/>
        <v>0.0008623723488</v>
      </c>
    </row>
    <row r="136">
      <c r="B136" s="57">
        <v>72512.0</v>
      </c>
      <c r="C136" s="122">
        <v>30674.0</v>
      </c>
      <c r="D136" s="122"/>
      <c r="E136" s="122"/>
      <c r="F136" s="122"/>
      <c r="R136" s="121">
        <v>3173.0</v>
      </c>
      <c r="S136" s="56">
        <f> -4666202 + 2324*2021 + 9*R136</f>
        <v>59159</v>
      </c>
      <c r="T136" s="157">
        <v>58760.0</v>
      </c>
      <c r="U136" s="160">
        <f t="shared" si="13"/>
        <v>-0.00679033356</v>
      </c>
      <c r="V136" s="161">
        <f t="shared" si="14"/>
        <v>0.00679033356</v>
      </c>
    </row>
    <row r="137">
      <c r="B137" s="57">
        <v>86047.0</v>
      </c>
      <c r="C137" s="57"/>
      <c r="D137" s="57"/>
      <c r="E137" s="57"/>
      <c r="F137" s="57"/>
      <c r="R137" s="121">
        <v>10237.0</v>
      </c>
      <c r="S137" s="56">
        <f> -17640973 + 8781*2021 + 3.15*R137</f>
        <v>137674.55</v>
      </c>
      <c r="T137" s="157">
        <v>142200.0</v>
      </c>
      <c r="U137" s="160">
        <f t="shared" si="13"/>
        <v>0.0318245429</v>
      </c>
      <c r="V137" s="161">
        <f t="shared" si="14"/>
        <v>0.0318245429</v>
      </c>
    </row>
    <row r="138">
      <c r="R138" s="122">
        <v>3183.0</v>
      </c>
      <c r="S138" s="56">
        <f> -14098648 + 6978*2021 + 31*R138</f>
        <v>102563</v>
      </c>
      <c r="T138" s="86">
        <v>93120.0</v>
      </c>
      <c r="U138" s="160">
        <f t="shared" si="13"/>
        <v>-0.1014067869</v>
      </c>
      <c r="V138" s="161">
        <f t="shared" si="14"/>
        <v>0.1014067869</v>
      </c>
    </row>
    <row r="139">
      <c r="A139" s="65" t="s">
        <v>349</v>
      </c>
      <c r="R139" s="121">
        <v>7408.0</v>
      </c>
      <c r="S139" s="56">
        <f> -13298573 + 6629.3*2021 + 2.78*R139</f>
        <v>119836.54</v>
      </c>
      <c r="T139" s="157">
        <v>120000.0</v>
      </c>
      <c r="U139" s="160">
        <f t="shared" si="13"/>
        <v>0.001362166667</v>
      </c>
      <c r="V139" s="161">
        <f t="shared" si="14"/>
        <v>0.001362166667</v>
      </c>
    </row>
    <row r="140">
      <c r="B140" s="57">
        <v>14407.0</v>
      </c>
      <c r="C140" s="172">
        <v>5382.0</v>
      </c>
      <c r="D140" s="172"/>
      <c r="E140" s="172"/>
      <c r="F140" s="172"/>
      <c r="R140" s="121">
        <v>4396.0</v>
      </c>
      <c r="S140" s="56">
        <f> -2503133 + 1214*2021 + 18.3*R140</f>
        <v>30807.8</v>
      </c>
      <c r="T140" s="157">
        <v>30540.0</v>
      </c>
      <c r="U140" s="160">
        <f t="shared" si="13"/>
        <v>-0.008768827767</v>
      </c>
      <c r="V140" s="161">
        <f t="shared" si="14"/>
        <v>0.008768827767</v>
      </c>
    </row>
    <row r="141">
      <c r="B141" s="57">
        <v>8888.0</v>
      </c>
      <c r="C141" s="121">
        <v>12528.0</v>
      </c>
      <c r="D141" s="121"/>
      <c r="E141" s="121"/>
      <c r="F141" s="121"/>
      <c r="R141" s="121">
        <v>4800.0</v>
      </c>
      <c r="S141" s="56">
        <f> -4736922 + 2346.1*2021 + 7.791*R141</f>
        <v>41942.9</v>
      </c>
      <c r="T141" s="157">
        <v>41600.0</v>
      </c>
      <c r="U141" s="160">
        <f t="shared" si="13"/>
        <v>-0.008242788462</v>
      </c>
      <c r="V141" s="161">
        <f t="shared" si="14"/>
        <v>0.008242788462</v>
      </c>
    </row>
    <row r="142">
      <c r="B142" s="57">
        <v>30668.0</v>
      </c>
      <c r="C142" s="121">
        <v>21000.0</v>
      </c>
      <c r="D142" s="121"/>
      <c r="E142" s="121"/>
      <c r="F142" s="121"/>
      <c r="R142" s="122">
        <v>51237.0</v>
      </c>
      <c r="S142" s="56">
        <f> -14373779 + 7186*2021 - 1.127*R142</f>
        <v>91382.901</v>
      </c>
      <c r="T142" s="86">
        <v>90000.0</v>
      </c>
      <c r="U142" s="160">
        <f t="shared" si="13"/>
        <v>-0.01536556667</v>
      </c>
      <c r="V142" s="161">
        <f t="shared" si="14"/>
        <v>0.01536556667</v>
      </c>
    </row>
    <row r="143">
      <c r="B143" s="57">
        <v>39662.0</v>
      </c>
      <c r="C143" s="122">
        <v>30674.0</v>
      </c>
      <c r="D143" s="122"/>
      <c r="E143" s="122"/>
      <c r="F143" s="122"/>
      <c r="R143" s="134"/>
      <c r="S143" s="164"/>
      <c r="T143" s="134"/>
      <c r="U143" s="134"/>
      <c r="V143" s="134"/>
    </row>
    <row r="144">
      <c r="B144" s="57">
        <v>42227.0</v>
      </c>
      <c r="C144" s="57"/>
      <c r="D144" s="57"/>
      <c r="E144" s="57"/>
      <c r="F144" s="57"/>
      <c r="R144" s="121">
        <v>4641.0</v>
      </c>
      <c r="S144" s="56">
        <f>  -986512 + 497*2021- 0.07*R144</f>
        <v>17600.13</v>
      </c>
      <c r="T144" s="157">
        <v>20600.0</v>
      </c>
      <c r="U144" s="160">
        <f t="shared" ref="U144:U149" si="15">(T144-S144)/T144</f>
        <v>0.1456247573</v>
      </c>
      <c r="V144" s="161">
        <f t="shared" ref="V144:V149" si="16">ABS(U144)</f>
        <v>0.1456247573</v>
      </c>
    </row>
    <row r="145">
      <c r="R145" s="121">
        <v>20912.0</v>
      </c>
      <c r="S145" s="56">
        <f> -4537200 + 2212*2021 + 6.21* R145</f>
        <v>63115.52</v>
      </c>
      <c r="T145" s="157">
        <v>60000.0</v>
      </c>
      <c r="U145" s="160">
        <f t="shared" si="15"/>
        <v>-0.05192533333</v>
      </c>
      <c r="V145" s="161">
        <f t="shared" si="16"/>
        <v>0.05192533333</v>
      </c>
    </row>
    <row r="146">
      <c r="A146" s="65" t="s">
        <v>348</v>
      </c>
      <c r="R146" s="122">
        <v>7505.0</v>
      </c>
      <c r="S146" s="56">
        <f> -5847089 + 3014 *2021 - 25.7 *R146</f>
        <v>51326.5</v>
      </c>
      <c r="T146" s="86">
        <v>50000.0</v>
      </c>
      <c r="U146" s="160">
        <f t="shared" si="15"/>
        <v>-0.02653</v>
      </c>
      <c r="V146" s="161">
        <f t="shared" si="16"/>
        <v>0.02653</v>
      </c>
    </row>
    <row r="147">
      <c r="B147" s="57">
        <v>17757.0</v>
      </c>
      <c r="C147" s="172">
        <v>5382.0</v>
      </c>
      <c r="D147" s="57"/>
      <c r="E147" s="57"/>
      <c r="F147" s="57"/>
      <c r="R147" s="121">
        <v>3097.0</v>
      </c>
      <c r="S147" s="56">
        <f> -4712659 + 2383.4 *2021 - 21.52 *R147</f>
        <v>37544.96</v>
      </c>
      <c r="T147" s="157">
        <v>37300.0</v>
      </c>
      <c r="U147" s="160">
        <f t="shared" si="15"/>
        <v>-0.006567292225</v>
      </c>
      <c r="V147" s="161">
        <f t="shared" si="16"/>
        <v>0.006567292225</v>
      </c>
    </row>
    <row r="148">
      <c r="B148" s="57">
        <v>6451.0</v>
      </c>
      <c r="C148" s="121">
        <v>12528.0</v>
      </c>
      <c r="D148" s="57"/>
      <c r="E148" s="57"/>
      <c r="F148" s="57"/>
      <c r="R148" s="121">
        <v>3898.0</v>
      </c>
      <c r="S148" s="56">
        <f> -11665733 + 5869 *2021 - 31 *R148</f>
        <v>74678</v>
      </c>
      <c r="T148" s="157">
        <v>72700.0</v>
      </c>
      <c r="U148" s="160">
        <f t="shared" si="15"/>
        <v>-0.02720770289</v>
      </c>
      <c r="V148" s="161">
        <f t="shared" si="16"/>
        <v>0.02720770289</v>
      </c>
    </row>
    <row r="149">
      <c r="B149" s="57">
        <v>1755.0</v>
      </c>
      <c r="C149" s="121">
        <v>21000.0</v>
      </c>
      <c r="D149" s="57"/>
      <c r="E149" s="57"/>
      <c r="F149" s="57"/>
      <c r="R149" s="121">
        <v>9196.0</v>
      </c>
      <c r="S149" s="56">
        <f> -2844561 + 1403 *2021+ 5.92 *R149</f>
        <v>45342.32</v>
      </c>
      <c r="T149" s="157">
        <v>41000.0</v>
      </c>
      <c r="U149" s="160">
        <f t="shared" si="15"/>
        <v>-0.1059102439</v>
      </c>
      <c r="V149" s="161">
        <f t="shared" si="16"/>
        <v>0.1059102439</v>
      </c>
    </row>
    <row r="150">
      <c r="B150" s="57">
        <v>38439.0</v>
      </c>
      <c r="C150" s="122">
        <v>30674.0</v>
      </c>
      <c r="D150" s="57"/>
      <c r="E150" s="57"/>
      <c r="F150" s="57"/>
      <c r="R150" s="134"/>
      <c r="S150" s="164"/>
      <c r="T150" s="134"/>
      <c r="U150" s="134"/>
      <c r="V150" s="134"/>
    </row>
    <row r="151">
      <c r="B151" s="57">
        <v>40537.0</v>
      </c>
      <c r="C151" s="57"/>
      <c r="D151" s="57"/>
      <c r="E151" s="57"/>
      <c r="F151" s="57"/>
      <c r="R151" s="122">
        <v>5140.0</v>
      </c>
      <c r="S151" s="56">
        <f> -10083461 + 5039 *2021 - 5.9  *R151</f>
        <v>70032</v>
      </c>
      <c r="T151" s="86">
        <v>70000.0</v>
      </c>
      <c r="U151" s="160">
        <f t="shared" ref="U151:U154" si="17">(T151-S151)/T151</f>
        <v>-0.0004571428571</v>
      </c>
      <c r="V151" s="161">
        <f t="shared" ref="V151:V154" si="18">ABS(U151)</f>
        <v>0.0004571428571</v>
      </c>
    </row>
    <row r="152">
      <c r="R152" s="121">
        <v>6813.0</v>
      </c>
      <c r="S152" s="56">
        <f> -7449439 + 3751 *2021 - 13.39  *R152</f>
        <v>40105.93</v>
      </c>
      <c r="T152" s="157">
        <v>40700.0</v>
      </c>
      <c r="U152" s="160">
        <f t="shared" si="17"/>
        <v>0.0145963145</v>
      </c>
      <c r="V152" s="161">
        <f t="shared" si="18"/>
        <v>0.0145963145</v>
      </c>
    </row>
    <row r="153">
      <c r="A153" s="65" t="s">
        <v>362</v>
      </c>
      <c r="R153" s="121">
        <v>6110.0</v>
      </c>
      <c r="S153" s="56">
        <f> -12500770 + 6258 *2021- 9.4  *R153</f>
        <v>89214</v>
      </c>
      <c r="T153" s="157">
        <v>81400.0</v>
      </c>
      <c r="U153" s="160">
        <f t="shared" si="17"/>
        <v>-0.095995086</v>
      </c>
      <c r="V153" s="161">
        <f t="shared" si="18"/>
        <v>0.095995086</v>
      </c>
    </row>
    <row r="154">
      <c r="B154" s="57">
        <v>10654.0</v>
      </c>
      <c r="C154" s="20">
        <v>2045.0</v>
      </c>
      <c r="D154" s="20"/>
      <c r="E154" s="20"/>
      <c r="F154" s="20"/>
      <c r="R154" s="121">
        <v>6682.0</v>
      </c>
      <c r="S154" s="56">
        <f> -5388329 + 2821*2021 - 39.2  *R154</f>
        <v>50977.6</v>
      </c>
      <c r="T154" s="157">
        <v>49400.0</v>
      </c>
      <c r="U154" s="160">
        <f t="shared" si="17"/>
        <v>-0.03193522267</v>
      </c>
      <c r="V154" s="161">
        <f t="shared" si="18"/>
        <v>0.03193522267</v>
      </c>
    </row>
    <row r="155">
      <c r="B155" s="57">
        <v>17241.0</v>
      </c>
      <c r="C155" s="20">
        <v>10764.0</v>
      </c>
      <c r="D155" s="20"/>
      <c r="E155" s="20"/>
      <c r="F155" s="20"/>
      <c r="R155" s="134"/>
      <c r="S155" s="164"/>
      <c r="T155" s="134"/>
      <c r="U155" s="134"/>
      <c r="V155" s="134"/>
    </row>
    <row r="156">
      <c r="B156" s="57">
        <v>33093.0</v>
      </c>
      <c r="C156" s="20">
        <v>11900.0</v>
      </c>
      <c r="D156" s="20"/>
      <c r="E156" s="20"/>
      <c r="F156" s="20"/>
      <c r="R156" s="121">
        <v>4596.0</v>
      </c>
      <c r="S156" s="56">
        <f>   -4120939 + 2057.4 *2021- 1.163  *R156</f>
        <v>31721.252</v>
      </c>
      <c r="T156" s="157">
        <v>31560.0</v>
      </c>
      <c r="U156" s="160">
        <f t="shared" ref="U156:U174" si="19">(T156-S156)/T156</f>
        <v>-0.005109378961</v>
      </c>
      <c r="V156" s="161">
        <f t="shared" ref="V156:V174" si="20">ABS(U156)</f>
        <v>0.005109378961</v>
      </c>
    </row>
    <row r="157">
      <c r="B157" s="57">
        <v>34705.0</v>
      </c>
      <c r="C157" s="20">
        <v>13400.0</v>
      </c>
      <c r="D157" s="20"/>
      <c r="E157" s="20"/>
      <c r="F157" s="20"/>
      <c r="R157" s="121">
        <v>22715.0</v>
      </c>
      <c r="S157" s="56">
        <f>   -4910774 + 2459 *2021- 0.97 * R157</f>
        <v>36831.45</v>
      </c>
      <c r="T157" s="157">
        <v>37000.0</v>
      </c>
      <c r="U157" s="160">
        <f t="shared" si="19"/>
        <v>0.004555405405</v>
      </c>
      <c r="V157" s="161">
        <f t="shared" si="20"/>
        <v>0.004555405405</v>
      </c>
    </row>
    <row r="158">
      <c r="B158" s="57">
        <v>157262.0</v>
      </c>
      <c r="C158" s="57"/>
      <c r="D158" s="57"/>
      <c r="E158" s="57"/>
      <c r="F158" s="57"/>
      <c r="R158" s="122">
        <v>58723.0</v>
      </c>
      <c r="S158" s="56">
        <f>   -7597431 + 3797 *2021- 0.808  *R158</f>
        <v>28857.816</v>
      </c>
      <c r="T158" s="86">
        <v>30000.0</v>
      </c>
      <c r="U158" s="160">
        <f t="shared" si="19"/>
        <v>0.0380728</v>
      </c>
      <c r="V158" s="161">
        <f t="shared" si="20"/>
        <v>0.0380728</v>
      </c>
    </row>
    <row r="159">
      <c r="R159" s="122">
        <v>13531.0</v>
      </c>
      <c r="S159" s="56">
        <f>   -7364447 + 3684 *2021- 2.62  *R159</f>
        <v>45465.78</v>
      </c>
      <c r="T159" s="86">
        <v>44300.0</v>
      </c>
      <c r="U159" s="160">
        <f t="shared" si="19"/>
        <v>-0.02631557562</v>
      </c>
      <c r="V159" s="161">
        <f t="shared" si="20"/>
        <v>0.02631557562</v>
      </c>
    </row>
    <row r="160">
      <c r="A160" s="65" t="s">
        <v>366</v>
      </c>
      <c r="R160" s="122">
        <v>8141.0</v>
      </c>
      <c r="S160" s="56">
        <f>  -3589746 + 1780 *2021+ 3.13  *R160</f>
        <v>33115.33</v>
      </c>
      <c r="T160" s="86">
        <v>29000.0</v>
      </c>
      <c r="U160" s="160">
        <f t="shared" si="19"/>
        <v>-0.141907931</v>
      </c>
      <c r="V160" s="161">
        <f t="shared" si="20"/>
        <v>0.141907931</v>
      </c>
    </row>
    <row r="161">
      <c r="B161" s="57">
        <v>18913.0</v>
      </c>
      <c r="C161" s="20">
        <v>2045.0</v>
      </c>
      <c r="D161" s="57"/>
      <c r="E161" s="57"/>
      <c r="F161" s="57"/>
      <c r="R161" s="122">
        <v>8996.0</v>
      </c>
      <c r="S161" s="56">
        <f>  -11798977 + 5961 *2021- 17.8 *R161</f>
        <v>88075.2</v>
      </c>
      <c r="T161" s="86">
        <v>85000.0</v>
      </c>
      <c r="U161" s="160">
        <f t="shared" si="19"/>
        <v>-0.03617882353</v>
      </c>
      <c r="V161" s="161">
        <f t="shared" si="20"/>
        <v>0.03617882353</v>
      </c>
    </row>
    <row r="162">
      <c r="B162" s="57">
        <v>33920.0</v>
      </c>
      <c r="C162" s="20">
        <v>10764.0</v>
      </c>
      <c r="D162" s="57"/>
      <c r="E162" s="57"/>
      <c r="F162" s="57"/>
      <c r="R162" s="121">
        <v>7952.0</v>
      </c>
      <c r="S162" s="56">
        <f>  -10286146 + 5000*2021 + 35.17 *R162</f>
        <v>98525.84</v>
      </c>
      <c r="T162" s="157">
        <v>100000.0</v>
      </c>
      <c r="U162" s="160">
        <f t="shared" si="19"/>
        <v>0.0147416</v>
      </c>
      <c r="V162" s="161">
        <f t="shared" si="20"/>
        <v>0.0147416</v>
      </c>
    </row>
    <row r="163">
      <c r="B163" s="57">
        <v>27368.0</v>
      </c>
      <c r="C163" s="20">
        <v>11900.0</v>
      </c>
      <c r="D163" s="57"/>
      <c r="E163" s="57"/>
      <c r="F163" s="57"/>
      <c r="R163" s="121">
        <v>3008.0</v>
      </c>
      <c r="S163" s="56">
        <f>  -5859286 + 2984 *2021- 39.5 *R163</f>
        <v>52562</v>
      </c>
      <c r="T163" s="157">
        <v>51000.0</v>
      </c>
      <c r="U163" s="160">
        <f t="shared" si="19"/>
        <v>-0.03062745098</v>
      </c>
      <c r="V163" s="161">
        <f t="shared" si="20"/>
        <v>0.03062745098</v>
      </c>
    </row>
    <row r="164">
      <c r="B164" s="57">
        <v>54618.0</v>
      </c>
      <c r="C164" s="20">
        <v>13400.0</v>
      </c>
      <c r="D164" s="57"/>
      <c r="E164" s="57"/>
      <c r="F164" s="57"/>
      <c r="R164" s="121">
        <v>9451.0</v>
      </c>
      <c r="S164" s="56">
        <f>  -4161620 + 2073.9 *2021- 0.106 *R164</f>
        <v>28730.094</v>
      </c>
      <c r="T164" s="157">
        <v>28790.0</v>
      </c>
      <c r="U164" s="160">
        <f t="shared" si="19"/>
        <v>0.002080791942</v>
      </c>
      <c r="V164" s="161">
        <f t="shared" si="20"/>
        <v>0.002080791942</v>
      </c>
    </row>
    <row r="165">
      <c r="B165" s="57">
        <v>133237.0</v>
      </c>
      <c r="C165" s="57"/>
      <c r="D165" s="57"/>
      <c r="E165" s="57"/>
      <c r="F165" s="57"/>
      <c r="R165" s="121">
        <v>25878.0</v>
      </c>
      <c r="S165" s="56">
        <f>  -15698062 + 7815*2021 + 0.82 *R165</f>
        <v>117272.96</v>
      </c>
      <c r="T165" s="157">
        <v>120000.0</v>
      </c>
      <c r="U165" s="160">
        <f t="shared" si="19"/>
        <v>0.02272533333</v>
      </c>
      <c r="V165" s="161">
        <f t="shared" si="20"/>
        <v>0.02272533333</v>
      </c>
    </row>
    <row r="166">
      <c r="R166" s="121">
        <v>5508.0</v>
      </c>
      <c r="S166" s="56">
        <f>  -5691225 + 2824 *2021+ 8.7 * R166</f>
        <v>63998.6</v>
      </c>
      <c r="T166" s="157">
        <v>70000.0</v>
      </c>
      <c r="U166" s="160">
        <f t="shared" si="19"/>
        <v>0.08573428571</v>
      </c>
      <c r="V166" s="161">
        <f t="shared" si="20"/>
        <v>0.08573428571</v>
      </c>
    </row>
    <row r="167">
      <c r="A167" s="65" t="s">
        <v>364</v>
      </c>
      <c r="R167" s="121">
        <v>4507.0</v>
      </c>
      <c r="S167" s="56">
        <f>  -6836780 + 3811 *2021- 183.4 *R167</f>
        <v>38667.2</v>
      </c>
      <c r="T167" s="157">
        <v>40600.0</v>
      </c>
      <c r="U167" s="160">
        <f t="shared" si="19"/>
        <v>0.04760591133</v>
      </c>
      <c r="V167" s="161">
        <f t="shared" si="20"/>
        <v>0.04760591133</v>
      </c>
    </row>
    <row r="168">
      <c r="B168" s="57">
        <v>13579.0</v>
      </c>
      <c r="C168" s="20">
        <v>2045.0</v>
      </c>
      <c r="D168" s="57"/>
      <c r="E168" s="57"/>
      <c r="F168" s="57"/>
      <c r="R168" s="121">
        <v>6977.0</v>
      </c>
      <c r="S168" s="56">
        <f>  -3478650 + 1736 *2021+ 4.98 *R168</f>
        <v>64551.46</v>
      </c>
      <c r="T168" s="157">
        <v>69520.0</v>
      </c>
      <c r="U168" s="160">
        <f t="shared" si="19"/>
        <v>0.07146921749</v>
      </c>
      <c r="V168" s="161">
        <f t="shared" si="20"/>
        <v>0.07146921749</v>
      </c>
    </row>
    <row r="169">
      <c r="B169" s="57">
        <v>17217.0</v>
      </c>
      <c r="C169" s="20">
        <v>10764.0</v>
      </c>
      <c r="D169" s="57"/>
      <c r="E169" s="57"/>
      <c r="F169" s="57"/>
      <c r="R169" s="121">
        <v>13304.0</v>
      </c>
      <c r="S169" s="56">
        <f>  -15595173 + 7798 *2021- 2.97 *R169</f>
        <v>125072.12</v>
      </c>
      <c r="T169" s="157">
        <v>120000.0</v>
      </c>
      <c r="U169" s="160">
        <f t="shared" si="19"/>
        <v>-0.04226766667</v>
      </c>
      <c r="V169" s="161">
        <f t="shared" si="20"/>
        <v>0.04226766667</v>
      </c>
    </row>
    <row r="170">
      <c r="B170" s="57">
        <v>31583.0</v>
      </c>
      <c r="C170" s="20">
        <v>11900.0</v>
      </c>
      <c r="D170" s="57"/>
      <c r="E170" s="57"/>
      <c r="F170" s="57"/>
      <c r="R170" s="121">
        <v>5419.0</v>
      </c>
      <c r="S170" s="56">
        <f>  -9357541 + 4684 *2021- 6.42 *R170</f>
        <v>74033.02</v>
      </c>
      <c r="T170" s="157">
        <v>73000.0</v>
      </c>
      <c r="U170" s="160">
        <f t="shared" si="19"/>
        <v>-0.0141509589</v>
      </c>
      <c r="V170" s="161">
        <f t="shared" si="20"/>
        <v>0.0141509589</v>
      </c>
    </row>
    <row r="171">
      <c r="B171" s="57">
        <v>34523.0</v>
      </c>
      <c r="C171" s="20">
        <v>13400.0</v>
      </c>
      <c r="D171" s="57"/>
      <c r="E171" s="57"/>
      <c r="F171" s="57"/>
      <c r="R171" s="121">
        <v>5136.0</v>
      </c>
      <c r="S171" s="56">
        <f>  -23222524 + 10932 *2021+ 250.2 *R171</f>
        <v>156075.2</v>
      </c>
      <c r="T171" s="157">
        <v>173400.0</v>
      </c>
      <c r="U171" s="160">
        <f t="shared" si="19"/>
        <v>0.09991234141</v>
      </c>
      <c r="V171" s="161">
        <f t="shared" si="20"/>
        <v>0.09991234141</v>
      </c>
    </row>
    <row r="172">
      <c r="B172" s="57">
        <v>132943.0</v>
      </c>
      <c r="C172" s="57"/>
      <c r="D172" s="57"/>
      <c r="E172" s="57"/>
      <c r="F172" s="57"/>
      <c r="R172" s="121">
        <v>14261.0</v>
      </c>
      <c r="S172" s="56">
        <f>   -6076909 + 3024.3 *2021+ 0.239 *R172</f>
        <v>38609.679</v>
      </c>
      <c r="T172" s="157">
        <v>39100.0</v>
      </c>
      <c r="U172" s="160">
        <f t="shared" si="19"/>
        <v>0.01254017903</v>
      </c>
      <c r="V172" s="161">
        <f t="shared" si="20"/>
        <v>0.01254017903</v>
      </c>
    </row>
    <row r="173">
      <c r="R173" s="121">
        <v>37990.0</v>
      </c>
      <c r="S173" s="56">
        <f>   -4848148 + 2415.8 *2021- 0.0985*R173</f>
        <v>30441.785</v>
      </c>
      <c r="T173" s="157">
        <v>31250.0</v>
      </c>
      <c r="U173" s="160">
        <f t="shared" si="19"/>
        <v>0.02586288</v>
      </c>
      <c r="V173" s="161">
        <f t="shared" si="20"/>
        <v>0.02586288</v>
      </c>
    </row>
    <row r="174">
      <c r="A174" s="65" t="s">
        <v>70</v>
      </c>
      <c r="R174" s="121">
        <v>7055.0</v>
      </c>
      <c r="S174" s="56">
        <f>   -7209243 + 3604 *2021- 1.31 *R174</f>
        <v>65198.95</v>
      </c>
      <c r="T174" s="157">
        <v>63500.0</v>
      </c>
      <c r="U174" s="160">
        <f t="shared" si="19"/>
        <v>-0.02675511811</v>
      </c>
      <c r="V174" s="161">
        <f t="shared" si="20"/>
        <v>0.02675511811</v>
      </c>
    </row>
    <row r="175">
      <c r="B175" s="57">
        <v>77361.0</v>
      </c>
      <c r="C175" s="157">
        <v>8394.0</v>
      </c>
      <c r="D175" s="157"/>
      <c r="E175" s="157"/>
      <c r="F175" s="157"/>
      <c r="R175" s="134"/>
      <c r="S175" s="164"/>
      <c r="T175" s="134"/>
      <c r="U175" s="134"/>
      <c r="V175" s="134"/>
    </row>
    <row r="176">
      <c r="B176" s="57">
        <v>73006.0</v>
      </c>
      <c r="C176" s="157">
        <v>43056.0</v>
      </c>
      <c r="D176" s="157"/>
      <c r="E176" s="157"/>
      <c r="F176" s="157"/>
      <c r="R176" s="122">
        <v>3062.0</v>
      </c>
      <c r="S176" s="56">
        <f>   -6842607 + 3434 *2021- 11.4* R176</f>
        <v>62600.2</v>
      </c>
      <c r="T176" s="86">
        <v>59000.0</v>
      </c>
      <c r="U176" s="160">
        <f t="shared" ref="U176:U177" si="21">(T176-S176)/T176</f>
        <v>-0.06102033898</v>
      </c>
      <c r="V176" s="161">
        <f t="shared" ref="V176:V177" si="22">ABS(U176)</f>
        <v>0.06102033898</v>
      </c>
    </row>
    <row r="177">
      <c r="B177" s="57">
        <v>69369.0</v>
      </c>
      <c r="C177" s="157">
        <v>42700.0</v>
      </c>
      <c r="D177" s="157"/>
      <c r="E177" s="157"/>
      <c r="F177" s="157"/>
      <c r="R177" s="122">
        <v>3522.0</v>
      </c>
      <c r="S177" s="56">
        <f>   -3914825 + 2030 *2021- 41.2 *R177</f>
        <v>42698.6</v>
      </c>
      <c r="T177" s="157">
        <v>40700.0</v>
      </c>
      <c r="U177" s="160">
        <f t="shared" si="21"/>
        <v>-0.04910565111</v>
      </c>
      <c r="V177" s="161">
        <f t="shared" si="22"/>
        <v>0.04910565111</v>
      </c>
    </row>
    <row r="178">
      <c r="B178" s="57">
        <v>86589.0</v>
      </c>
      <c r="C178" s="157">
        <v>49550.0</v>
      </c>
      <c r="D178" s="157"/>
      <c r="E178" s="157"/>
      <c r="F178" s="157"/>
      <c r="R178" s="134"/>
      <c r="S178" s="164"/>
      <c r="T178" s="134"/>
      <c r="U178" s="134"/>
      <c r="V178" s="134"/>
    </row>
    <row r="179">
      <c r="B179" s="57">
        <v>103444.0</v>
      </c>
      <c r="C179" s="57"/>
      <c r="D179" s="57"/>
      <c r="E179" s="57"/>
      <c r="F179" s="57"/>
      <c r="R179" s="121">
        <v>26380.0</v>
      </c>
      <c r="S179" s="56">
        <f>  -5407046 + 2697 *2021- 0.02  *R179</f>
        <v>43063.4</v>
      </c>
      <c r="T179" s="157">
        <v>40220.0</v>
      </c>
      <c r="U179" s="160">
        <f t="shared" ref="U179:U181" si="23">(T179-S179)/T179</f>
        <v>-0.07069617106</v>
      </c>
      <c r="V179" s="161">
        <f t="shared" ref="V179:V181" si="24">ABS(U179)</f>
        <v>0.07069617106</v>
      </c>
    </row>
    <row r="180">
      <c r="R180" s="121">
        <v>37299.0</v>
      </c>
      <c r="S180" s="56">
        <f>   1251722 - 634 *2021+ 1.848  *R180</f>
        <v>39336.552</v>
      </c>
      <c r="T180" s="157">
        <v>37400.0</v>
      </c>
      <c r="U180" s="160">
        <f t="shared" si="23"/>
        <v>-0.05177946524</v>
      </c>
      <c r="V180" s="161">
        <f t="shared" si="24"/>
        <v>0.05177946524</v>
      </c>
    </row>
    <row r="181">
      <c r="A181" s="65" t="s">
        <v>40</v>
      </c>
      <c r="B181" s="57">
        <v>46022.0</v>
      </c>
      <c r="C181" s="57">
        <v>26800.0</v>
      </c>
      <c r="D181" s="57"/>
      <c r="E181" s="57"/>
      <c r="F181" s="57"/>
      <c r="R181" s="121">
        <v>53610.0</v>
      </c>
      <c r="S181" s="56">
        <f>   -3975909 + 1974 *2021+ 0.686  *R181</f>
        <v>50321.46</v>
      </c>
      <c r="T181" s="157">
        <v>44350.0</v>
      </c>
      <c r="U181" s="160">
        <f t="shared" si="23"/>
        <v>-0.1346439684</v>
      </c>
      <c r="V181" s="161">
        <f t="shared" si="24"/>
        <v>0.1346439684</v>
      </c>
    </row>
    <row r="182">
      <c r="B182" s="145">
        <v>43812.0</v>
      </c>
      <c r="C182" s="145">
        <v>32300.0</v>
      </c>
      <c r="D182" s="145"/>
      <c r="E182" s="145"/>
      <c r="F182" s="145"/>
      <c r="R182" s="134"/>
      <c r="S182" s="164"/>
      <c r="T182" s="134"/>
      <c r="U182" s="134"/>
      <c r="V182" s="134"/>
    </row>
    <row r="183">
      <c r="B183" s="145">
        <v>41519.0</v>
      </c>
      <c r="C183" s="145">
        <v>35500.0</v>
      </c>
      <c r="D183" s="145"/>
      <c r="E183" s="145"/>
      <c r="F183" s="145"/>
      <c r="R183" s="121">
        <v>30976.0</v>
      </c>
      <c r="S183" s="56">
        <f>   -3899522 + 1944 *2021+ 0.105* R183</f>
        <v>32554.48</v>
      </c>
      <c r="T183" s="162">
        <v>31560.0</v>
      </c>
      <c r="U183" s="160">
        <f>(T183-S183)/T183</f>
        <v>-0.03151077313</v>
      </c>
      <c r="V183" s="161">
        <f>ABS(U183)</f>
        <v>0.03151077313</v>
      </c>
    </row>
    <row r="184">
      <c r="B184" s="145">
        <v>50871.0</v>
      </c>
      <c r="C184" s="57">
        <v>40800.0</v>
      </c>
      <c r="D184" s="57"/>
      <c r="E184" s="57"/>
      <c r="F184" s="57"/>
      <c r="R184" s="134"/>
      <c r="S184" s="164"/>
      <c r="T184" s="134"/>
      <c r="U184" s="134"/>
      <c r="V184" s="134"/>
    </row>
    <row r="185">
      <c r="B185" s="145">
        <v>57916.0</v>
      </c>
      <c r="C185" s="145"/>
      <c r="D185" s="145"/>
      <c r="E185" s="145"/>
      <c r="F185" s="145"/>
      <c r="R185" s="122">
        <v>83724.0</v>
      </c>
      <c r="S185" s="56">
        <f>  -2077371 + 1037 *2021- 0.051 * R185</f>
        <v>14136.076</v>
      </c>
      <c r="T185" s="86">
        <v>13400.0</v>
      </c>
      <c r="U185" s="160">
        <f t="shared" ref="U185:U190" si="25">(T185-S185)/T185</f>
        <v>-0.05493104478</v>
      </c>
      <c r="V185" s="161">
        <f t="shared" ref="V185:V190" si="26">ABS(U185)</f>
        <v>0.05493104478</v>
      </c>
    </row>
    <row r="186">
      <c r="R186" s="121">
        <v>45577.0</v>
      </c>
      <c r="S186" s="56">
        <f>  -7795684 + 3881 *2021+ 0.14 * R186</f>
        <v>54197.78</v>
      </c>
      <c r="T186" s="157">
        <v>49540.0</v>
      </c>
      <c r="U186" s="160">
        <f t="shared" si="25"/>
        <v>-0.09402058942</v>
      </c>
      <c r="V186" s="161">
        <f t="shared" si="26"/>
        <v>0.09402058942</v>
      </c>
    </row>
    <row r="187">
      <c r="A187" s="65" t="s">
        <v>309</v>
      </c>
      <c r="R187" s="121">
        <v>18332.0</v>
      </c>
      <c r="S187" s="56">
        <f>  -18092862 + 9031*2021- 2.86* R187</f>
        <v>106359.48</v>
      </c>
      <c r="T187" s="157">
        <v>95900.0</v>
      </c>
      <c r="U187" s="160">
        <f t="shared" si="25"/>
        <v>-0.1090665276</v>
      </c>
      <c r="V187" s="161">
        <f t="shared" si="26"/>
        <v>0.1090665276</v>
      </c>
    </row>
    <row r="188">
      <c r="B188" s="57">
        <v>68201.0</v>
      </c>
      <c r="C188" s="57">
        <v>15200.0</v>
      </c>
      <c r="D188" s="57"/>
      <c r="E188" s="57"/>
      <c r="F188" s="57"/>
      <c r="R188" s="121">
        <v>6677.0</v>
      </c>
      <c r="S188" s="56">
        <f>  -6893297 + 3417 *2021+ 10.34* R188</f>
        <v>81500.18</v>
      </c>
      <c r="T188" s="157">
        <v>84700.0</v>
      </c>
      <c r="U188" s="160">
        <f t="shared" si="25"/>
        <v>0.03777827627</v>
      </c>
      <c r="V188" s="161">
        <f t="shared" si="26"/>
        <v>0.03777827627</v>
      </c>
    </row>
    <row r="189">
      <c r="B189" s="57">
        <v>88187.0</v>
      </c>
      <c r="C189" s="57">
        <v>33481.0</v>
      </c>
      <c r="D189" s="57"/>
      <c r="E189" s="57"/>
      <c r="F189" s="57"/>
      <c r="R189" s="121">
        <v>11617.0</v>
      </c>
      <c r="S189" s="56">
        <f>  -2593300 + 1228 *2021+ 14.3 * R189</f>
        <v>54611.1</v>
      </c>
      <c r="T189" s="157">
        <v>49550.0</v>
      </c>
      <c r="U189" s="160">
        <f t="shared" si="25"/>
        <v>-0.1021412714</v>
      </c>
      <c r="V189" s="161">
        <f t="shared" si="26"/>
        <v>0.1021412714</v>
      </c>
    </row>
    <row r="190">
      <c r="B190" s="57">
        <v>79806.0</v>
      </c>
      <c r="C190" s="57">
        <v>41481.0</v>
      </c>
      <c r="D190" s="57"/>
      <c r="E190" s="57"/>
      <c r="F190" s="57"/>
      <c r="R190" s="122">
        <v>50207.0</v>
      </c>
      <c r="S190" s="56">
        <f>   -7611767 + 3790 *2021- 0.033 * R190</f>
        <v>46166.169</v>
      </c>
      <c r="T190" s="86">
        <v>42000.0</v>
      </c>
      <c r="U190" s="160">
        <f t="shared" si="25"/>
        <v>-0.0991945</v>
      </c>
      <c r="V190" s="161">
        <f t="shared" si="26"/>
        <v>0.0991945</v>
      </c>
    </row>
    <row r="191">
      <c r="B191" s="57">
        <v>94938.0</v>
      </c>
      <c r="C191" s="57">
        <v>51956.0</v>
      </c>
      <c r="D191" s="57"/>
      <c r="E191" s="57"/>
      <c r="F191" s="57"/>
      <c r="R191" s="134"/>
      <c r="S191" s="164"/>
      <c r="T191" s="134"/>
      <c r="U191" s="134"/>
      <c r="V191" s="134"/>
    </row>
    <row r="192">
      <c r="B192" s="57">
        <v>118671.0</v>
      </c>
      <c r="C192" s="57"/>
      <c r="D192" s="57"/>
      <c r="E192" s="57"/>
      <c r="F192" s="57"/>
      <c r="R192" s="121">
        <v>95090.0</v>
      </c>
      <c r="S192" s="56">
        <f>   -6176555 + 3078 *2021+ 0.0285 *R192</f>
        <v>46793.065</v>
      </c>
      <c r="T192" s="157">
        <v>46500.0</v>
      </c>
      <c r="U192" s="160">
        <f t="shared" ref="U192:U197" si="27">(T192-S192)/T192</f>
        <v>-0.006302473118</v>
      </c>
      <c r="V192" s="161">
        <f t="shared" ref="V192:V197" si="28">ABS(U192)</f>
        <v>0.006302473118</v>
      </c>
    </row>
    <row r="193">
      <c r="R193" s="121">
        <v>35811.0</v>
      </c>
      <c r="S193" s="56">
        <f>   -7360702 + 3675 *2021- 0.545 *R193</f>
        <v>46956.005</v>
      </c>
      <c r="T193" s="157">
        <v>48400.0</v>
      </c>
      <c r="U193" s="160">
        <f t="shared" si="27"/>
        <v>0.02983460744</v>
      </c>
      <c r="V193" s="161">
        <f t="shared" si="28"/>
        <v>0.02983460744</v>
      </c>
    </row>
    <row r="194">
      <c r="A194" s="65" t="s">
        <v>306</v>
      </c>
      <c r="R194" s="122">
        <v>22198.0</v>
      </c>
      <c r="S194" s="56">
        <f>   -5142624 + 2565 *2021- 0.246 *R194</f>
        <v>35780.292</v>
      </c>
      <c r="T194" s="86">
        <v>35600.0</v>
      </c>
      <c r="U194" s="160">
        <f t="shared" si="27"/>
        <v>-0.005064382022</v>
      </c>
      <c r="V194" s="161">
        <f t="shared" si="28"/>
        <v>0.005064382022</v>
      </c>
    </row>
    <row r="195">
      <c r="B195" s="57">
        <v>80505.0</v>
      </c>
      <c r="C195" s="57">
        <v>15200.0</v>
      </c>
      <c r="D195" s="57"/>
      <c r="E195" s="57"/>
      <c r="F195" s="57"/>
      <c r="R195" s="121">
        <v>8557.0</v>
      </c>
      <c r="S195" s="56">
        <f>   -4813225 + 2406 *2021- 1.29 *R195</f>
        <v>38262.47</v>
      </c>
      <c r="T195" s="157">
        <v>37900.0</v>
      </c>
      <c r="U195" s="160">
        <f t="shared" si="27"/>
        <v>-0.009563852243</v>
      </c>
      <c r="V195" s="161">
        <f t="shared" si="28"/>
        <v>0.009563852243</v>
      </c>
    </row>
    <row r="196">
      <c r="B196" s="121">
        <v>104211.0</v>
      </c>
      <c r="C196" s="57">
        <v>33481.0</v>
      </c>
      <c r="D196" s="57"/>
      <c r="E196" s="57"/>
      <c r="F196" s="57"/>
      <c r="R196" s="122">
        <v>43965.0</v>
      </c>
      <c r="S196" s="56">
        <f>   -10947697 + 5479 *2021- 1.67*R196</f>
        <v>51940.45</v>
      </c>
      <c r="T196" s="86">
        <v>54700.0</v>
      </c>
      <c r="U196" s="160">
        <f t="shared" si="27"/>
        <v>0.0504488117</v>
      </c>
      <c r="V196" s="161">
        <f t="shared" si="28"/>
        <v>0.0504488117</v>
      </c>
    </row>
    <row r="197">
      <c r="B197" s="121">
        <v>104666.0</v>
      </c>
      <c r="C197" s="57">
        <v>41481.0</v>
      </c>
      <c r="D197" s="57"/>
      <c r="E197" s="57"/>
      <c r="F197" s="57"/>
      <c r="R197" s="121">
        <v>35019.0</v>
      </c>
      <c r="S197" s="56">
        <f>    -7771869 + 3882 *2021- 0.71*R197</f>
        <v>48789.51</v>
      </c>
      <c r="T197" s="157">
        <v>50000.0</v>
      </c>
      <c r="U197" s="160">
        <f t="shared" si="27"/>
        <v>0.0242098</v>
      </c>
      <c r="V197" s="161">
        <f t="shared" si="28"/>
        <v>0.0242098</v>
      </c>
    </row>
    <row r="198">
      <c r="B198" s="122">
        <v>130861.0</v>
      </c>
      <c r="C198" s="57">
        <v>51956.0</v>
      </c>
      <c r="D198" s="57"/>
      <c r="E198" s="57"/>
      <c r="F198" s="57"/>
      <c r="R198" s="134"/>
      <c r="S198" s="164"/>
      <c r="T198" s="134"/>
      <c r="U198" s="134"/>
      <c r="V198" s="134"/>
    </row>
    <row r="199">
      <c r="B199" s="122">
        <v>139248.0</v>
      </c>
      <c r="C199" s="122"/>
      <c r="D199" s="122"/>
      <c r="E199" s="122"/>
      <c r="F199" s="122"/>
      <c r="R199" s="121">
        <v>29125.0</v>
      </c>
      <c r="S199" s="56">
        <f>    -12896562 + 6436 *2021- 2.35*    R199</f>
        <v>42150.25</v>
      </c>
      <c r="T199" s="157">
        <v>41400.0</v>
      </c>
      <c r="U199" s="160">
        <f t="shared" ref="U199:U218" si="29">(T199-S199)/T199</f>
        <v>-0.01812198068</v>
      </c>
      <c r="V199" s="161">
        <f t="shared" ref="V199:V218" si="30">ABS(U199)</f>
        <v>0.01812198068</v>
      </c>
    </row>
    <row r="200">
      <c r="R200" s="121">
        <v>3583.0</v>
      </c>
      <c r="S200" s="56">
        <f>    -5085293 + 2532 *2021+ 7.76 *R200</f>
        <v>59683.08</v>
      </c>
      <c r="T200" s="157">
        <v>61600.0</v>
      </c>
      <c r="U200" s="160">
        <f t="shared" si="29"/>
        <v>0.03111883117</v>
      </c>
      <c r="V200" s="161">
        <f t="shared" si="30"/>
        <v>0.03111883117</v>
      </c>
    </row>
    <row r="201">
      <c r="A201" s="65" t="s">
        <v>307</v>
      </c>
      <c r="R201" s="121">
        <v>4646.0</v>
      </c>
      <c r="S201" s="56">
        <f>    -3973676 + 2087 *2021- 43.5 *R201</f>
        <v>42050</v>
      </c>
      <c r="T201" s="157">
        <v>37400.0</v>
      </c>
      <c r="U201" s="160">
        <f t="shared" si="29"/>
        <v>-0.1243315508</v>
      </c>
      <c r="V201" s="161">
        <f t="shared" si="30"/>
        <v>0.1243315508</v>
      </c>
    </row>
    <row r="202">
      <c r="B202" s="57">
        <v>69976.0</v>
      </c>
      <c r="C202" s="57">
        <v>15200.0</v>
      </c>
      <c r="D202" s="57"/>
      <c r="E202" s="57"/>
      <c r="F202" s="57"/>
      <c r="R202" s="121">
        <v>7427.0</v>
      </c>
      <c r="S202" s="56">
        <f>    -6877260 + 3482 *2021 - 11.6 *R202</f>
        <v>73708.8</v>
      </c>
      <c r="T202" s="157">
        <v>74700.0</v>
      </c>
      <c r="U202" s="160">
        <f t="shared" si="29"/>
        <v>0.01326907631</v>
      </c>
      <c r="V202" s="161">
        <f t="shared" si="30"/>
        <v>0.01326907631</v>
      </c>
    </row>
    <row r="203">
      <c r="B203" s="57">
        <v>77963.0</v>
      </c>
      <c r="C203" s="57">
        <v>33481.0</v>
      </c>
      <c r="D203" s="57"/>
      <c r="E203" s="57"/>
      <c r="F203" s="57"/>
      <c r="R203" s="121">
        <v>27586.0</v>
      </c>
      <c r="S203" s="56">
        <f>      -5634555 + 2803 *2021+ 0.56 *R203</f>
        <v>45756.16</v>
      </c>
      <c r="T203" s="157">
        <v>42100.0</v>
      </c>
      <c r="U203" s="160">
        <f t="shared" si="29"/>
        <v>-0.08684465558</v>
      </c>
      <c r="V203" s="161">
        <f t="shared" si="30"/>
        <v>0.08684465558</v>
      </c>
    </row>
    <row r="204">
      <c r="B204" s="80">
        <v>69118.0</v>
      </c>
      <c r="C204" s="57">
        <v>41481.0</v>
      </c>
      <c r="D204" s="80"/>
      <c r="E204" s="80"/>
      <c r="F204" s="80"/>
      <c r="R204" s="121">
        <v>5849.0</v>
      </c>
      <c r="S204" s="56">
        <f>  -3563828 + 1830 *2021- 16.29 *R204</f>
        <v>39321.79</v>
      </c>
      <c r="T204" s="157">
        <v>37300.0</v>
      </c>
      <c r="U204" s="160">
        <f t="shared" si="29"/>
        <v>-0.05420348525</v>
      </c>
      <c r="V204" s="161">
        <f t="shared" si="30"/>
        <v>0.05420348525</v>
      </c>
    </row>
    <row r="205">
      <c r="B205" s="57">
        <v>78608.0</v>
      </c>
      <c r="C205" s="57">
        <v>51956.0</v>
      </c>
      <c r="D205" s="57"/>
      <c r="E205" s="57"/>
      <c r="F205" s="57"/>
      <c r="R205" s="122">
        <v>7292.0</v>
      </c>
      <c r="S205" s="56">
        <f>   -9387128 + 4677*2021+ 2.85 *R205</f>
        <v>85871.2</v>
      </c>
      <c r="T205" s="86">
        <v>82500.0</v>
      </c>
      <c r="U205" s="160">
        <f t="shared" si="29"/>
        <v>-0.0408630303</v>
      </c>
      <c r="V205" s="161">
        <f t="shared" si="30"/>
        <v>0.0408630303</v>
      </c>
    </row>
    <row r="206">
      <c r="B206" s="57">
        <v>86617.0</v>
      </c>
      <c r="C206" s="57"/>
      <c r="D206" s="57"/>
      <c r="E206" s="57"/>
      <c r="F206" s="57"/>
      <c r="R206" s="121">
        <v>4640.0</v>
      </c>
      <c r="S206" s="56">
        <f>   -7653580 + 3858.8 *2021 - 20.04 *R206</f>
        <v>52069.2</v>
      </c>
      <c r="T206" s="157">
        <v>52170.0</v>
      </c>
      <c r="U206" s="160">
        <f t="shared" si="29"/>
        <v>0.001932144911</v>
      </c>
      <c r="V206" s="161">
        <f t="shared" si="30"/>
        <v>0.001932144911</v>
      </c>
    </row>
    <row r="207">
      <c r="R207" s="121">
        <v>4505.0</v>
      </c>
      <c r="S207" s="56">
        <f>    -4738677 + 2349.1*2021 + 7.23 *R207</f>
        <v>41425.25</v>
      </c>
      <c r="T207" s="157">
        <v>41600.0</v>
      </c>
      <c r="U207" s="160">
        <f t="shared" si="29"/>
        <v>0.004200721154</v>
      </c>
      <c r="V207" s="161">
        <f t="shared" si="30"/>
        <v>0.004200721154</v>
      </c>
    </row>
    <row r="208">
      <c r="A208" s="65" t="s">
        <v>310</v>
      </c>
      <c r="R208" s="121">
        <v>4796.0</v>
      </c>
      <c r="S208" s="56">
        <f>    -8538355 + 4359 *2021 - 39 *R208</f>
        <v>84140</v>
      </c>
      <c r="T208" s="157">
        <v>81000.0</v>
      </c>
      <c r="U208" s="160">
        <f t="shared" si="29"/>
        <v>-0.0387654321</v>
      </c>
      <c r="V208" s="161">
        <f t="shared" si="30"/>
        <v>0.0387654321</v>
      </c>
    </row>
    <row r="209">
      <c r="B209" s="57">
        <v>2177.0</v>
      </c>
      <c r="C209" s="57">
        <v>15200.0</v>
      </c>
      <c r="D209" s="57"/>
      <c r="E209" s="57"/>
      <c r="F209" s="57"/>
      <c r="R209" s="121">
        <v>14257.0</v>
      </c>
      <c r="S209" s="56">
        <f>    -7234052 + 3534 *2021+ 10.39*R209</f>
        <v>56292.23</v>
      </c>
      <c r="T209" s="157">
        <v>55700.0</v>
      </c>
      <c r="U209" s="160">
        <f t="shared" si="29"/>
        <v>-0.01063249551</v>
      </c>
      <c r="V209" s="161">
        <f t="shared" si="30"/>
        <v>0.01063249551</v>
      </c>
    </row>
    <row r="210">
      <c r="B210" s="20">
        <v>1231.0</v>
      </c>
      <c r="C210" s="57">
        <v>33481.0</v>
      </c>
      <c r="D210" s="20"/>
      <c r="E210" s="20"/>
      <c r="F210" s="20"/>
      <c r="R210" s="121">
        <v>7341.0</v>
      </c>
      <c r="S210" s="56">
        <f>    -10019834 + 5018*2021 - 5.8 *R210</f>
        <v>78966.2</v>
      </c>
      <c r="T210" s="157">
        <v>74500.0</v>
      </c>
      <c r="U210" s="160">
        <f t="shared" si="29"/>
        <v>-0.05994899329</v>
      </c>
      <c r="V210" s="161">
        <f t="shared" si="30"/>
        <v>0.05994899329</v>
      </c>
    </row>
    <row r="211">
      <c r="B211" s="57">
        <v>952.0</v>
      </c>
      <c r="C211" s="57">
        <v>41481.0</v>
      </c>
      <c r="D211" s="57"/>
      <c r="E211" s="57"/>
      <c r="F211" s="57"/>
      <c r="R211" s="121">
        <v>6952.0</v>
      </c>
      <c r="S211" s="56">
        <f>     -11199178 + 5627 *2021- 14.73 *R211</f>
        <v>70586.04</v>
      </c>
      <c r="T211" s="157">
        <v>71000.0</v>
      </c>
      <c r="U211" s="160">
        <f t="shared" si="29"/>
        <v>0.005830422535</v>
      </c>
      <c r="V211" s="161">
        <f t="shared" si="30"/>
        <v>0.005830422535</v>
      </c>
    </row>
    <row r="212">
      <c r="B212" s="20">
        <v>1908.0</v>
      </c>
      <c r="C212" s="57">
        <v>51956.0</v>
      </c>
      <c r="D212" s="20"/>
      <c r="E212" s="20"/>
      <c r="F212" s="20"/>
      <c r="R212" s="121">
        <v>10965.0</v>
      </c>
      <c r="S212" s="56">
        <f>     -7427425 + 3703 *2021- 0.36 *R212</f>
        <v>52390.6</v>
      </c>
      <c r="T212" s="157">
        <v>52170.0</v>
      </c>
      <c r="U212" s="160">
        <f t="shared" si="29"/>
        <v>-0.004228483803</v>
      </c>
      <c r="V212" s="161">
        <f t="shared" si="30"/>
        <v>0.004228483803</v>
      </c>
    </row>
    <row r="213">
      <c r="B213" s="20">
        <v>3035.0</v>
      </c>
      <c r="C213" s="57"/>
      <c r="D213" s="20"/>
      <c r="E213" s="20"/>
      <c r="F213" s="20"/>
      <c r="R213" s="121">
        <v>5695.0</v>
      </c>
      <c r="S213" s="56">
        <f>    -6853496 + 3369 *2021+ 19.3 *R213</f>
        <v>65166.5</v>
      </c>
      <c r="T213" s="157">
        <v>69210.0</v>
      </c>
      <c r="U213" s="160">
        <f t="shared" si="29"/>
        <v>0.0584236382</v>
      </c>
      <c r="V213" s="161">
        <f t="shared" si="30"/>
        <v>0.0584236382</v>
      </c>
    </row>
    <row r="214">
      <c r="R214" s="121">
        <v>7241.0</v>
      </c>
      <c r="S214" s="56">
        <f>    -7445927 + 3727 *2021 - 3.19 *R214</f>
        <v>63241.21</v>
      </c>
      <c r="T214" s="157">
        <v>65360.0</v>
      </c>
      <c r="U214" s="160">
        <f t="shared" si="29"/>
        <v>0.03241722766</v>
      </c>
      <c r="V214" s="161">
        <f t="shared" si="30"/>
        <v>0.03241722766</v>
      </c>
    </row>
    <row r="215">
      <c r="R215" s="121">
        <v>30527.0</v>
      </c>
      <c r="S215" s="56">
        <f>     -5719120 + 2853 *2021- 0.594 *R215</f>
        <v>28659.962</v>
      </c>
      <c r="T215" s="157">
        <v>29200.0</v>
      </c>
      <c r="U215" s="160">
        <f t="shared" si="29"/>
        <v>0.01849445205</v>
      </c>
      <c r="V215" s="161">
        <f t="shared" si="30"/>
        <v>0.01849445205</v>
      </c>
    </row>
    <row r="216">
      <c r="R216" s="121">
        <v>21441.0</v>
      </c>
      <c r="S216" s="56">
        <f>     -6793710 + 3393 *2021- 1.25 *R216</f>
        <v>36741.75</v>
      </c>
      <c r="T216" s="157">
        <v>35650.0</v>
      </c>
      <c r="U216" s="160">
        <f t="shared" si="29"/>
        <v>-0.03062412342</v>
      </c>
      <c r="V216" s="161">
        <f t="shared" si="30"/>
        <v>0.03062412342</v>
      </c>
    </row>
    <row r="217">
      <c r="R217" s="121">
        <v>5186.0</v>
      </c>
      <c r="S217" s="56">
        <f>     -12716737 + 6115 *2021+ 83.6 *R217</f>
        <v>75227.6</v>
      </c>
      <c r="T217" s="157">
        <v>90000.0</v>
      </c>
      <c r="U217" s="171">
        <f t="shared" si="29"/>
        <v>0.1641377778</v>
      </c>
      <c r="V217" s="161">
        <f t="shared" si="30"/>
        <v>0.1641377778</v>
      </c>
    </row>
    <row r="218">
      <c r="R218" s="121">
        <v>6814.0</v>
      </c>
      <c r="S218" s="56">
        <f>    -7586377 + 3775 *2021+ 1.2 *R218</f>
        <v>51074.8</v>
      </c>
      <c r="T218" s="157">
        <v>49000.0</v>
      </c>
      <c r="U218" s="160">
        <f t="shared" si="29"/>
        <v>-0.04234285714</v>
      </c>
      <c r="V218" s="161">
        <f t="shared" si="30"/>
        <v>0.04234285714</v>
      </c>
    </row>
    <row r="219">
      <c r="R219" s="143"/>
      <c r="S219" s="173"/>
      <c r="T219" s="174"/>
      <c r="U219" s="174"/>
      <c r="V219" s="174"/>
    </row>
    <row r="220">
      <c r="R220" s="20">
        <v>35026.0</v>
      </c>
      <c r="S220" s="56">
        <f>   -684536 + 340 *2021 + 0.2034 *R220</f>
        <v>9728.2884</v>
      </c>
      <c r="T220" s="20">
        <v>10000.0</v>
      </c>
      <c r="U220" s="160">
        <f t="shared" ref="U220:U268" si="31">(T220-S220)/T220</f>
        <v>0.02717116</v>
      </c>
      <c r="V220" s="161">
        <f t="shared" ref="V220:V268" si="32">ABS(U220)</f>
        <v>0.02717116</v>
      </c>
    </row>
    <row r="221">
      <c r="R221" s="20">
        <v>84273.0</v>
      </c>
      <c r="S221" s="56">
        <f>    -867878 + 427*2021+ 0.1784* R221</f>
        <v>10123.3032</v>
      </c>
      <c r="T221" s="20">
        <v>10000.0</v>
      </c>
      <c r="U221" s="160">
        <f t="shared" si="31"/>
        <v>-0.01233032</v>
      </c>
      <c r="V221" s="161">
        <f t="shared" si="32"/>
        <v>0.01233032</v>
      </c>
    </row>
    <row r="222">
      <c r="R222" s="57">
        <v>89362.0</v>
      </c>
      <c r="S222" s="56">
        <f>    -5005596 + 2514 *2021 - 0.503 *R222</f>
        <v>30248.914</v>
      </c>
      <c r="T222" s="86">
        <v>30000.0</v>
      </c>
      <c r="U222" s="160">
        <f t="shared" si="31"/>
        <v>-0.008297133333</v>
      </c>
      <c r="V222" s="161">
        <f t="shared" si="32"/>
        <v>0.008297133333</v>
      </c>
    </row>
    <row r="223">
      <c r="R223" s="145">
        <v>130332.0</v>
      </c>
      <c r="S223" s="56">
        <f>    -5561453 + 2779 *2021- 0.178 *R223</f>
        <v>31706.904</v>
      </c>
      <c r="T223" s="86">
        <v>30000.0</v>
      </c>
      <c r="U223" s="160">
        <f t="shared" si="31"/>
        <v>-0.0568968</v>
      </c>
      <c r="V223" s="161">
        <f t="shared" si="32"/>
        <v>0.0568968</v>
      </c>
    </row>
    <row r="224">
      <c r="R224" s="145">
        <v>110986.0</v>
      </c>
      <c r="S224" s="56">
        <f>    -6793912 + 3398 *2021 - 0.373 *R224</f>
        <v>32048.222</v>
      </c>
      <c r="T224" s="86">
        <v>30000.0</v>
      </c>
      <c r="U224" s="160">
        <f t="shared" si="31"/>
        <v>-0.06827406667</v>
      </c>
      <c r="V224" s="161">
        <f t="shared" si="32"/>
        <v>0.06827406667</v>
      </c>
    </row>
    <row r="225">
      <c r="R225" s="145">
        <v>103057.0</v>
      </c>
      <c r="S225" s="56">
        <f>    -2270720 + 1131 *2021 + 0.1725 *R225</f>
        <v>32808.3325</v>
      </c>
      <c r="T225" s="162">
        <v>31560.0</v>
      </c>
      <c r="U225" s="160">
        <f t="shared" si="31"/>
        <v>-0.03955426172</v>
      </c>
      <c r="V225" s="161">
        <f t="shared" si="32"/>
        <v>0.03955426172</v>
      </c>
    </row>
    <row r="226">
      <c r="R226" s="57">
        <v>124782.0</v>
      </c>
      <c r="S226" s="56">
        <f>   -4325866 + 2157*2021 - 0.0211 *R226</f>
        <v>30798.0998</v>
      </c>
      <c r="T226" s="162">
        <v>31560.0</v>
      </c>
      <c r="U226" s="160">
        <f t="shared" si="31"/>
        <v>0.02414132446</v>
      </c>
      <c r="V226" s="161">
        <f t="shared" si="32"/>
        <v>0.02414132446</v>
      </c>
    </row>
    <row r="227">
      <c r="R227" s="20">
        <v>95591.0</v>
      </c>
      <c r="S227" s="56">
        <f>   -4447561 + 2218*2021- 0.0309 *R227</f>
        <v>32063.2381</v>
      </c>
      <c r="T227" s="162">
        <v>31560.0</v>
      </c>
      <c r="U227" s="160">
        <f t="shared" si="31"/>
        <v>-0.01594544043</v>
      </c>
      <c r="V227" s="161">
        <f t="shared" si="32"/>
        <v>0.01594544043</v>
      </c>
    </row>
    <row r="228">
      <c r="R228" s="20">
        <v>50826.0</v>
      </c>
      <c r="S228" s="56">
        <f>   -6655911 + 3313 *2021- 0.205 *R228</f>
        <v>29242.67</v>
      </c>
      <c r="T228" s="175">
        <v>31000.0</v>
      </c>
      <c r="U228" s="160">
        <f t="shared" si="31"/>
        <v>0.05668806452</v>
      </c>
      <c r="V228" s="161">
        <f t="shared" si="32"/>
        <v>0.05668806452</v>
      </c>
    </row>
    <row r="229">
      <c r="R229" s="57">
        <v>106722.0</v>
      </c>
      <c r="S229" s="56">
        <f>  -6275886 + 3124*2021- 0.071 *R229</f>
        <v>30140.738</v>
      </c>
      <c r="T229" s="175">
        <v>31000.0</v>
      </c>
      <c r="U229" s="160">
        <f t="shared" si="31"/>
        <v>0.02771812903</v>
      </c>
      <c r="V229" s="161">
        <f t="shared" si="32"/>
        <v>0.02771812903</v>
      </c>
    </row>
    <row r="230">
      <c r="R230" s="20">
        <v>17250.0</v>
      </c>
      <c r="S230" s="56">
        <f>  -5546451 + 2760 *2021- 0.006 *R230</f>
        <v>31405.5</v>
      </c>
      <c r="T230" s="175">
        <v>31000.0</v>
      </c>
      <c r="U230" s="160">
        <f t="shared" si="31"/>
        <v>-0.01308064516</v>
      </c>
      <c r="V230" s="161">
        <f t="shared" si="32"/>
        <v>0.01308064516</v>
      </c>
    </row>
    <row r="231">
      <c r="R231" s="20">
        <v>28643.0</v>
      </c>
      <c r="S231" s="56">
        <f>   -1461742 + 729*2021 - 0.00013  *R231</f>
        <v>11563.27641</v>
      </c>
      <c r="T231" s="20">
        <v>9700.0</v>
      </c>
      <c r="U231" s="171">
        <f t="shared" si="31"/>
        <v>-0.1920903515</v>
      </c>
      <c r="V231" s="161">
        <f t="shared" si="32"/>
        <v>0.1920903515</v>
      </c>
    </row>
    <row r="232">
      <c r="R232" s="20">
        <v>24865.0</v>
      </c>
      <c r="S232" s="56">
        <f>   -1632742 + 814 *2021 - 0.0254  *R232</f>
        <v>11720.429</v>
      </c>
      <c r="T232" s="20">
        <v>9700.0</v>
      </c>
      <c r="U232" s="171">
        <f t="shared" si="31"/>
        <v>-0.2082916495</v>
      </c>
      <c r="V232" s="161">
        <f t="shared" si="32"/>
        <v>0.2082916495</v>
      </c>
    </row>
    <row r="233">
      <c r="R233" s="57">
        <v>30574.0</v>
      </c>
      <c r="S233" s="56">
        <f>   -2489289 + 1241*2021 - 0.0183  *R233</f>
        <v>18212.4958</v>
      </c>
      <c r="T233" s="20">
        <v>18000.0</v>
      </c>
      <c r="U233" s="160">
        <f t="shared" si="31"/>
        <v>-0.01180532222</v>
      </c>
      <c r="V233" s="161">
        <f t="shared" si="32"/>
        <v>0.01180532222</v>
      </c>
    </row>
    <row r="234">
      <c r="R234" s="20">
        <v>55010.0</v>
      </c>
      <c r="S234" s="56">
        <f>   -2370160 + 1182 *2021 + 0.0031  *R234</f>
        <v>18832.531</v>
      </c>
      <c r="T234" s="20">
        <v>18000.0</v>
      </c>
      <c r="U234" s="160">
        <f t="shared" si="31"/>
        <v>-0.04625172222</v>
      </c>
      <c r="V234" s="161">
        <f t="shared" si="32"/>
        <v>0.04625172222</v>
      </c>
    </row>
    <row r="235">
      <c r="R235" s="20">
        <v>78701.0</v>
      </c>
      <c r="S235" s="56">
        <f>   -2415261 + 1204.5 *2021 - 0.00849  *R235</f>
        <v>18365.32851</v>
      </c>
      <c r="T235" s="20">
        <v>18000.0</v>
      </c>
      <c r="U235" s="160">
        <f t="shared" si="31"/>
        <v>-0.02029602833</v>
      </c>
      <c r="V235" s="161">
        <f t="shared" si="32"/>
        <v>0.02029602833</v>
      </c>
    </row>
    <row r="236">
      <c r="R236" s="57">
        <v>85417.0</v>
      </c>
      <c r="S236" s="56">
        <f>   -1937955 + 968 *2021 - 0.002  *R236</f>
        <v>18202.166</v>
      </c>
      <c r="T236" s="20">
        <v>18200.0</v>
      </c>
      <c r="U236" s="160">
        <f t="shared" si="31"/>
        <v>-0.000119010989</v>
      </c>
      <c r="V236" s="161">
        <f t="shared" si="32"/>
        <v>0.000119010989</v>
      </c>
    </row>
    <row r="237">
      <c r="R237" s="145">
        <v>78782.0</v>
      </c>
      <c r="S237" s="56">
        <f>   -2157535 + 1078 *2021 - 0.0133  *R237</f>
        <v>20055.1994</v>
      </c>
      <c r="T237" s="20">
        <v>18200.0</v>
      </c>
      <c r="U237" s="160">
        <f t="shared" si="31"/>
        <v>-0.101934033</v>
      </c>
      <c r="V237" s="161">
        <f t="shared" si="32"/>
        <v>0.101934033</v>
      </c>
    </row>
    <row r="238">
      <c r="R238" s="145">
        <v>111662.0</v>
      </c>
      <c r="S238" s="56">
        <f>   -5582345 + 2784 *2021 - 0.0906  *R238</f>
        <v>34002.4228</v>
      </c>
      <c r="T238" s="86">
        <v>35600.0</v>
      </c>
      <c r="U238" s="160">
        <f t="shared" si="31"/>
        <v>0.04487576404</v>
      </c>
      <c r="V238" s="161">
        <f t="shared" si="32"/>
        <v>0.04487576404</v>
      </c>
    </row>
    <row r="239">
      <c r="R239" s="20">
        <v>92008.0</v>
      </c>
      <c r="S239" s="56">
        <f>   -4849606 + 2418 *2021- 0.0193  *R239</f>
        <v>35396.2456</v>
      </c>
      <c r="T239" s="86">
        <v>35600.0</v>
      </c>
      <c r="U239" s="160">
        <f t="shared" si="31"/>
        <v>0.005723438202</v>
      </c>
      <c r="V239" s="161">
        <f t="shared" si="32"/>
        <v>0.005723438202</v>
      </c>
    </row>
    <row r="240">
      <c r="R240" s="145">
        <v>73192.0</v>
      </c>
      <c r="S240" s="56">
        <f>  -4879213 + 2433 *2021 - 0.0264  *R240</f>
        <v>35947.7312</v>
      </c>
      <c r="T240" s="86">
        <v>35600.0</v>
      </c>
      <c r="U240" s="160">
        <f t="shared" si="31"/>
        <v>-0.009767730337</v>
      </c>
      <c r="V240" s="161">
        <f t="shared" si="32"/>
        <v>0.009767730337</v>
      </c>
    </row>
    <row r="241">
      <c r="R241" s="145">
        <v>66268.0</v>
      </c>
      <c r="S241" s="56">
        <f>   -5450798 + 2723*2021- 0.255  *R241</f>
        <v>35486.66</v>
      </c>
      <c r="T241" s="86">
        <v>35600.0</v>
      </c>
      <c r="U241" s="160">
        <f t="shared" si="31"/>
        <v>0.003183707865</v>
      </c>
      <c r="V241" s="161">
        <f t="shared" si="32"/>
        <v>0.003183707865</v>
      </c>
    </row>
    <row r="242">
      <c r="R242" s="20">
        <v>1908.0</v>
      </c>
      <c r="S242" s="56">
        <f>    -7524716 + 3753 *2021 -3.46 *R242</f>
        <v>53495.32</v>
      </c>
      <c r="T242" s="57">
        <v>51956.0</v>
      </c>
      <c r="U242" s="160">
        <f t="shared" si="31"/>
        <v>-0.02962737701</v>
      </c>
      <c r="V242" s="161">
        <f t="shared" si="32"/>
        <v>0.02962737701</v>
      </c>
    </row>
    <row r="243">
      <c r="R243" s="57">
        <v>78608.0</v>
      </c>
      <c r="S243" s="56">
        <f>    -6752530 + 3360 *2021 +0.201 *R243</f>
        <v>53830.208</v>
      </c>
      <c r="T243" s="57">
        <v>51956.0</v>
      </c>
      <c r="U243" s="160">
        <f t="shared" si="31"/>
        <v>-0.03607298483</v>
      </c>
      <c r="V243" s="161">
        <f t="shared" si="32"/>
        <v>0.03607298483</v>
      </c>
    </row>
    <row r="244">
      <c r="R244" s="122">
        <v>130861.0</v>
      </c>
      <c r="S244" s="56">
        <f>    -6567126 + 3271 *2021 +0.088 *R244</f>
        <v>55080.768</v>
      </c>
      <c r="T244" s="57">
        <v>51956.0</v>
      </c>
      <c r="U244" s="160">
        <f t="shared" si="31"/>
        <v>-0.06014258218</v>
      </c>
      <c r="V244" s="161">
        <f t="shared" si="32"/>
        <v>0.06014258218</v>
      </c>
    </row>
    <row r="245">
      <c r="R245" s="57">
        <v>94938.0</v>
      </c>
      <c r="S245" s="56">
        <f>    -5622925 + 2794 *2021 +0.311 *R245</f>
        <v>53274.718</v>
      </c>
      <c r="T245" s="57">
        <v>51956.0</v>
      </c>
      <c r="U245" s="160">
        <f t="shared" si="31"/>
        <v>-0.02538143814</v>
      </c>
      <c r="V245" s="161">
        <f t="shared" si="32"/>
        <v>0.02538143814</v>
      </c>
    </row>
    <row r="246">
      <c r="R246" s="145">
        <v>50871.0</v>
      </c>
      <c r="S246" s="56">
        <f>    -2763434 + 1389.4 *2021 -0.075 *R246</f>
        <v>40728.075</v>
      </c>
      <c r="T246" s="57">
        <v>40800.0</v>
      </c>
      <c r="U246" s="160">
        <f t="shared" si="31"/>
        <v>0.001762867647</v>
      </c>
      <c r="V246" s="161">
        <f t="shared" si="32"/>
        <v>0.001762867647</v>
      </c>
    </row>
    <row r="247">
      <c r="R247" s="57">
        <v>86589.0</v>
      </c>
      <c r="S247" s="56">
        <f>    -9659780 + 4840 *2021 -0.771 *R247</f>
        <v>55099.881</v>
      </c>
      <c r="T247" s="157">
        <v>49550.0</v>
      </c>
      <c r="U247" s="160">
        <f t="shared" si="31"/>
        <v>-0.112005671</v>
      </c>
      <c r="V247" s="161">
        <f t="shared" si="32"/>
        <v>0.112005671</v>
      </c>
    </row>
    <row r="248">
      <c r="R248" s="57">
        <v>34523.0</v>
      </c>
      <c r="S248" s="56">
        <f>    -2120364 + 1057 *2021 -0.0061 *R248</f>
        <v>15622.4097</v>
      </c>
      <c r="T248" s="20">
        <v>13400.0</v>
      </c>
      <c r="U248" s="171">
        <f t="shared" si="31"/>
        <v>-0.1658514701</v>
      </c>
      <c r="V248" s="161">
        <f t="shared" si="32"/>
        <v>0.1658514701</v>
      </c>
    </row>
    <row r="249">
      <c r="R249" s="57">
        <v>54618.0</v>
      </c>
      <c r="S249" s="56">
        <f>    -2113065 + 1053 *2021 -0.006 *R249</f>
        <v>14720.292</v>
      </c>
      <c r="T249" s="20">
        <v>13400.0</v>
      </c>
      <c r="U249" s="160">
        <f t="shared" si="31"/>
        <v>-0.09852925373</v>
      </c>
      <c r="V249" s="161">
        <f t="shared" si="32"/>
        <v>0.09852925373</v>
      </c>
    </row>
    <row r="250">
      <c r="R250" s="57">
        <v>34705.0</v>
      </c>
      <c r="S250" s="56">
        <f>    -2031720 + 1013 *2021 +0.001 *R250</f>
        <v>15587.705</v>
      </c>
      <c r="T250" s="20">
        <v>13400.0</v>
      </c>
      <c r="U250" s="171">
        <f t="shared" si="31"/>
        <v>-0.1632615672</v>
      </c>
      <c r="V250" s="161">
        <f t="shared" si="32"/>
        <v>0.1632615672</v>
      </c>
    </row>
    <row r="251">
      <c r="R251" s="57">
        <v>38439.0</v>
      </c>
      <c r="S251" s="56">
        <f>    -5063416 + 2520.6 *2021 -0.0064 *R251</f>
        <v>30470.5904</v>
      </c>
      <c r="T251" s="122">
        <v>30674.0</v>
      </c>
      <c r="U251" s="160">
        <f t="shared" si="31"/>
        <v>0.006631335985</v>
      </c>
      <c r="V251" s="161">
        <f t="shared" si="32"/>
        <v>0.006631335985</v>
      </c>
    </row>
    <row r="252">
      <c r="R252" s="57">
        <v>39662.0</v>
      </c>
      <c r="S252" s="56">
        <f>    -4914954 + 2446.5 *2021 +0.0388 *R252</f>
        <v>30961.3856</v>
      </c>
      <c r="T252" s="122">
        <v>30674.0</v>
      </c>
      <c r="U252" s="160">
        <f t="shared" si="31"/>
        <v>-0.009369029145</v>
      </c>
      <c r="V252" s="161">
        <f t="shared" si="32"/>
        <v>0.009369029145</v>
      </c>
    </row>
    <row r="253">
      <c r="R253" s="57">
        <v>72512.0</v>
      </c>
      <c r="S253" s="56">
        <f>    -5061826 + 2519.8 *2021 -0.0022 *R253</f>
        <v>30530.2736</v>
      </c>
      <c r="T253" s="122">
        <v>30674.0</v>
      </c>
      <c r="U253" s="160">
        <f t="shared" si="31"/>
        <v>0.004685609963</v>
      </c>
      <c r="V253" s="161">
        <f t="shared" si="32"/>
        <v>0.004685609963</v>
      </c>
    </row>
    <row r="254">
      <c r="R254" s="57">
        <v>16673.0</v>
      </c>
      <c r="S254" s="56">
        <f>    -7161190 + 3567.2 *2021 +0.543 *R254</f>
        <v>57174.639</v>
      </c>
      <c r="T254" s="57">
        <v>57178.0</v>
      </c>
      <c r="U254" s="160">
        <f t="shared" si="31"/>
        <v>0.00005878134948</v>
      </c>
      <c r="V254" s="161">
        <f t="shared" si="32"/>
        <v>0.00005878134948</v>
      </c>
    </row>
    <row r="255">
      <c r="R255" s="57">
        <v>113012.0</v>
      </c>
      <c r="S255" s="56">
        <f>    -6708296 + 3342 *2021 +0.1018 *R255</f>
        <v>57390.6216</v>
      </c>
      <c r="T255" s="57">
        <v>57178.0</v>
      </c>
      <c r="U255" s="160">
        <f t="shared" si="31"/>
        <v>-0.003718591066</v>
      </c>
      <c r="V255" s="161">
        <f t="shared" si="32"/>
        <v>0.003718591066</v>
      </c>
    </row>
    <row r="256">
      <c r="R256" s="57">
        <v>36634.0</v>
      </c>
      <c r="S256" s="56">
        <f>    -7132193 + 3557 *2021 +0.0128 *R256</f>
        <v>56972.9152</v>
      </c>
      <c r="T256" s="57">
        <v>57178.0</v>
      </c>
      <c r="U256" s="160">
        <f t="shared" si="31"/>
        <v>0.003586778131</v>
      </c>
      <c r="V256" s="161">
        <f t="shared" si="32"/>
        <v>0.003586778131</v>
      </c>
    </row>
    <row r="257">
      <c r="R257" s="57">
        <v>13763.0</v>
      </c>
      <c r="S257" s="56">
        <f>    -7186606 + 3584 *2021 +0.0318 *R257</f>
        <v>57095.6634</v>
      </c>
      <c r="T257" s="57">
        <v>57178.0</v>
      </c>
      <c r="U257" s="160">
        <f t="shared" si="31"/>
        <v>0.001440004897</v>
      </c>
      <c r="V257" s="161">
        <f t="shared" si="32"/>
        <v>0.001440004897</v>
      </c>
    </row>
    <row r="258">
      <c r="R258" s="57">
        <v>82499.0</v>
      </c>
      <c r="S258" s="56">
        <f>    -7016887 + 3498 *2021 +0.056 *R258</f>
        <v>57190.944</v>
      </c>
      <c r="T258" s="57">
        <v>57178.0</v>
      </c>
      <c r="U258" s="160">
        <f t="shared" si="31"/>
        <v>-0.0002263807758</v>
      </c>
      <c r="V258" s="161">
        <f t="shared" si="32"/>
        <v>0.0002263807758</v>
      </c>
    </row>
    <row r="259">
      <c r="R259" s="57">
        <v>35684.0</v>
      </c>
      <c r="S259" s="56">
        <f>    -7163761 + 3568.4 *2021 +0.255 *R259</f>
        <v>57074.82</v>
      </c>
      <c r="T259" s="57">
        <v>57178.0</v>
      </c>
      <c r="U259" s="160">
        <f t="shared" si="31"/>
        <v>0.001804540208</v>
      </c>
      <c r="V259" s="161">
        <f t="shared" si="32"/>
        <v>0.001804540208</v>
      </c>
    </row>
    <row r="260">
      <c r="R260" s="57">
        <v>75811.0</v>
      </c>
      <c r="S260" s="56">
        <f>    -4222888 + 2108 *2021 +0.069 *R260</f>
        <v>42610.959</v>
      </c>
      <c r="T260" s="57">
        <v>42000.0</v>
      </c>
      <c r="U260" s="160">
        <f t="shared" si="31"/>
        <v>-0.01454664286</v>
      </c>
      <c r="V260" s="161">
        <f t="shared" si="32"/>
        <v>0.01454664286</v>
      </c>
    </row>
    <row r="261">
      <c r="R261" s="57">
        <v>104421.0</v>
      </c>
      <c r="S261" s="56">
        <f>    -5046863 + 2519 *2021 -0.012 *R261</f>
        <v>42782.948</v>
      </c>
      <c r="T261" s="57">
        <v>42000.0</v>
      </c>
      <c r="U261" s="160">
        <f t="shared" si="31"/>
        <v>-0.01864161905</v>
      </c>
      <c r="V261" s="161">
        <f t="shared" si="32"/>
        <v>0.01864161905</v>
      </c>
    </row>
    <row r="262">
      <c r="R262" s="57">
        <v>27917.0</v>
      </c>
      <c r="S262" s="56">
        <f>    -8768967 + 4371 *2021 -0.234 *R262</f>
        <v>58291.422</v>
      </c>
      <c r="T262" s="57">
        <v>57815.0</v>
      </c>
      <c r="U262" s="160">
        <f t="shared" si="31"/>
        <v>-0.008240456629</v>
      </c>
      <c r="V262" s="161">
        <f t="shared" si="32"/>
        <v>0.008240456629</v>
      </c>
    </row>
    <row r="263">
      <c r="R263" s="57">
        <v>80825.0</v>
      </c>
      <c r="S263" s="56">
        <f>    -6086131 + 3032 *2021 +0.157 *R263</f>
        <v>54230.525</v>
      </c>
      <c r="T263" s="167">
        <v>54713.0</v>
      </c>
      <c r="U263" s="160">
        <f t="shared" si="31"/>
        <v>0.008818288158</v>
      </c>
      <c r="V263" s="161">
        <f t="shared" si="32"/>
        <v>0.008818288158</v>
      </c>
    </row>
    <row r="264">
      <c r="R264" s="57">
        <v>59548.0</v>
      </c>
      <c r="S264" s="56">
        <f>    -9831936 + 4896 *2021 +0.074 *R264</f>
        <v>67286.552</v>
      </c>
      <c r="T264" s="167">
        <v>65533.0</v>
      </c>
      <c r="U264" s="160">
        <f t="shared" si="31"/>
        <v>-0.02675830498</v>
      </c>
      <c r="V264" s="161">
        <f t="shared" si="32"/>
        <v>0.02675830498</v>
      </c>
    </row>
    <row r="265">
      <c r="R265" s="57">
        <v>78828.0</v>
      </c>
      <c r="S265" s="56">
        <f>    -10034482 + 5009 *2021 -0.463 *R265</f>
        <v>52209.636</v>
      </c>
      <c r="T265" s="167">
        <v>53200.0</v>
      </c>
      <c r="U265" s="160">
        <f t="shared" si="31"/>
        <v>0.01861586466</v>
      </c>
      <c r="V265" s="161">
        <f t="shared" si="32"/>
        <v>0.01861586466</v>
      </c>
    </row>
    <row r="266">
      <c r="R266" s="57">
        <v>51237.0</v>
      </c>
      <c r="S266" s="56">
        <f>    -6022127 + 3025 *2021 -0.933 *R266</f>
        <v>43593.879</v>
      </c>
      <c r="T266" s="167">
        <v>41760.0</v>
      </c>
      <c r="U266" s="160">
        <f t="shared" si="31"/>
        <v>-0.04391472701</v>
      </c>
      <c r="V266" s="161">
        <f t="shared" si="32"/>
        <v>0.04391472701</v>
      </c>
    </row>
    <row r="267">
      <c r="R267" s="57">
        <v>142423.0</v>
      </c>
      <c r="S267" s="56">
        <f>    -6122362 + 3049 *2021+0.052 *R267</f>
        <v>47072.996</v>
      </c>
      <c r="T267" s="167">
        <v>44090.0</v>
      </c>
      <c r="U267" s="160">
        <f t="shared" si="31"/>
        <v>-0.06765697437</v>
      </c>
      <c r="V267" s="161">
        <f t="shared" si="32"/>
        <v>0.06765697437</v>
      </c>
    </row>
    <row r="268">
      <c r="R268" s="57">
        <v>244712.0</v>
      </c>
      <c r="S268" s="176">
        <f>    -5968770 + 2979 *2021-0.0526 *R268</f>
        <v>38917.1488</v>
      </c>
      <c r="T268" s="177">
        <v>39430.0</v>
      </c>
      <c r="U268" s="160">
        <f t="shared" si="31"/>
        <v>0.0130066244</v>
      </c>
      <c r="V268" s="161">
        <f t="shared" si="32"/>
        <v>0.0130066244</v>
      </c>
    </row>
    <row r="269">
      <c r="S269" s="178"/>
      <c r="T269" s="179"/>
      <c r="U269" s="180">
        <f>AVERAGE(U7:U268)</f>
        <v>-0.01620246673</v>
      </c>
      <c r="V269" s="161">
        <f>AVERAGE(V6:V268)</f>
        <v>0.04859218013</v>
      </c>
    </row>
    <row r="270">
      <c r="S270" s="181"/>
    </row>
    <row r="271">
      <c r="S271" s="181"/>
    </row>
    <row r="272">
      <c r="S272" s="181"/>
    </row>
    <row r="273">
      <c r="S273" s="181"/>
    </row>
    <row r="274">
      <c r="S274" s="181"/>
    </row>
    <row r="275">
      <c r="S275" s="181"/>
    </row>
    <row r="276">
      <c r="S276" s="181"/>
    </row>
    <row r="277">
      <c r="S277" s="182"/>
    </row>
    <row r="278">
      <c r="S278" s="182"/>
    </row>
    <row r="279">
      <c r="S279" s="182"/>
    </row>
    <row r="280">
      <c r="S280" s="182"/>
    </row>
    <row r="281">
      <c r="S281" s="182"/>
    </row>
    <row r="282">
      <c r="S282" s="182"/>
    </row>
    <row r="283">
      <c r="S283" s="182"/>
    </row>
    <row r="284">
      <c r="S284" s="182"/>
    </row>
    <row r="285">
      <c r="S285" s="182"/>
    </row>
    <row r="286">
      <c r="S286" s="182"/>
    </row>
    <row r="287">
      <c r="S287" s="182"/>
    </row>
    <row r="288">
      <c r="S288" s="182"/>
    </row>
    <row r="289">
      <c r="S289" s="182"/>
    </row>
    <row r="290">
      <c r="S290" s="182"/>
    </row>
    <row r="291">
      <c r="S291" s="182"/>
    </row>
    <row r="292">
      <c r="S292" s="182"/>
    </row>
    <row r="293">
      <c r="S293" s="182"/>
    </row>
    <row r="294">
      <c r="S294" s="182"/>
    </row>
    <row r="295">
      <c r="S295" s="182"/>
    </row>
    <row r="296">
      <c r="S296" s="182"/>
    </row>
    <row r="297">
      <c r="S297" s="182"/>
    </row>
    <row r="298">
      <c r="S298" s="182"/>
    </row>
    <row r="299">
      <c r="S299" s="182"/>
    </row>
    <row r="300">
      <c r="S300" s="182"/>
    </row>
    <row r="301">
      <c r="S301" s="182"/>
    </row>
    <row r="302">
      <c r="S302" s="182"/>
    </row>
    <row r="303">
      <c r="S303" s="182"/>
    </row>
    <row r="304">
      <c r="S304" s="182"/>
    </row>
    <row r="305">
      <c r="S305" s="182"/>
    </row>
    <row r="306">
      <c r="S306" s="182"/>
    </row>
    <row r="307">
      <c r="S307" s="182"/>
    </row>
    <row r="308">
      <c r="S308" s="182"/>
    </row>
    <row r="309">
      <c r="S309" s="182"/>
    </row>
    <row r="310">
      <c r="S310" s="182"/>
    </row>
    <row r="311">
      <c r="S311" s="182"/>
    </row>
    <row r="312">
      <c r="S312" s="182"/>
    </row>
    <row r="313">
      <c r="S313" s="182"/>
    </row>
    <row r="314">
      <c r="S314" s="182"/>
    </row>
    <row r="315">
      <c r="S315" s="182"/>
    </row>
    <row r="316">
      <c r="S316" s="182"/>
    </row>
    <row r="317">
      <c r="S317" s="182"/>
    </row>
    <row r="318">
      <c r="S318" s="182"/>
    </row>
    <row r="319">
      <c r="S319" s="182"/>
    </row>
    <row r="320">
      <c r="S320" s="182"/>
    </row>
    <row r="321">
      <c r="S321" s="182"/>
    </row>
    <row r="322">
      <c r="S322" s="182"/>
    </row>
    <row r="323">
      <c r="S323" s="182"/>
    </row>
    <row r="324">
      <c r="S324" s="182"/>
    </row>
    <row r="325">
      <c r="S325" s="182"/>
    </row>
    <row r="326">
      <c r="S326" s="182"/>
    </row>
    <row r="327">
      <c r="S327" s="182"/>
    </row>
    <row r="328">
      <c r="S328" s="182"/>
    </row>
    <row r="329">
      <c r="S329" s="182"/>
    </row>
    <row r="330">
      <c r="S330" s="182"/>
    </row>
    <row r="331">
      <c r="S331" s="182"/>
    </row>
    <row r="332">
      <c r="S332" s="182"/>
    </row>
    <row r="333">
      <c r="S333" s="182"/>
    </row>
    <row r="334">
      <c r="S334" s="182"/>
    </row>
    <row r="335">
      <c r="S335" s="182"/>
    </row>
    <row r="336">
      <c r="S336" s="182"/>
    </row>
    <row r="337">
      <c r="S337" s="182"/>
    </row>
    <row r="338">
      <c r="S338" s="182"/>
    </row>
    <row r="339">
      <c r="S339" s="182"/>
    </row>
    <row r="340">
      <c r="S340" s="182"/>
    </row>
    <row r="341">
      <c r="S341" s="182"/>
    </row>
    <row r="342">
      <c r="S342" s="182"/>
    </row>
    <row r="343">
      <c r="S343" s="182"/>
    </row>
    <row r="344">
      <c r="S344" s="182"/>
    </row>
    <row r="345">
      <c r="S345" s="182"/>
    </row>
    <row r="346">
      <c r="S346" s="182"/>
    </row>
    <row r="347">
      <c r="S347" s="182"/>
    </row>
    <row r="348">
      <c r="S348" s="182"/>
    </row>
    <row r="349">
      <c r="S349" s="182"/>
    </row>
    <row r="350">
      <c r="S350" s="182"/>
    </row>
    <row r="351">
      <c r="S351" s="182"/>
    </row>
    <row r="352">
      <c r="S352" s="182"/>
    </row>
    <row r="353">
      <c r="S353" s="182"/>
    </row>
    <row r="354">
      <c r="S354" s="182"/>
    </row>
    <row r="355">
      <c r="S355" s="182"/>
    </row>
    <row r="356">
      <c r="S356" s="182"/>
    </row>
    <row r="357">
      <c r="S357" s="182"/>
    </row>
    <row r="358">
      <c r="S358" s="182"/>
    </row>
    <row r="359">
      <c r="S359" s="182"/>
    </row>
    <row r="360">
      <c r="S360" s="182"/>
    </row>
    <row r="361">
      <c r="S361" s="182"/>
    </row>
    <row r="362">
      <c r="S362" s="182"/>
    </row>
    <row r="363">
      <c r="S363" s="182"/>
    </row>
    <row r="364">
      <c r="S364" s="182"/>
    </row>
    <row r="365">
      <c r="S365" s="182"/>
    </row>
    <row r="366">
      <c r="S366" s="182"/>
    </row>
    <row r="367">
      <c r="S367" s="182"/>
    </row>
    <row r="368">
      <c r="S368" s="182"/>
    </row>
    <row r="369">
      <c r="S369" s="182"/>
    </row>
    <row r="370">
      <c r="S370" s="182"/>
    </row>
    <row r="371">
      <c r="S371" s="182"/>
    </row>
    <row r="372">
      <c r="S372" s="182"/>
    </row>
    <row r="373">
      <c r="S373" s="182"/>
    </row>
    <row r="374">
      <c r="S374" s="182"/>
    </row>
    <row r="375">
      <c r="S375" s="182"/>
    </row>
    <row r="376">
      <c r="S376" s="182"/>
    </row>
    <row r="377">
      <c r="S377" s="182"/>
    </row>
    <row r="378">
      <c r="S378" s="182"/>
    </row>
    <row r="379">
      <c r="S379" s="182"/>
    </row>
    <row r="380">
      <c r="S380" s="182"/>
    </row>
    <row r="381">
      <c r="S381" s="182"/>
    </row>
    <row r="382">
      <c r="S382" s="182"/>
    </row>
    <row r="383">
      <c r="S383" s="182"/>
    </row>
    <row r="384">
      <c r="S384" s="182"/>
    </row>
    <row r="385">
      <c r="S385" s="182"/>
    </row>
    <row r="386">
      <c r="S386" s="182"/>
    </row>
    <row r="387">
      <c r="S387" s="182"/>
    </row>
    <row r="388">
      <c r="S388" s="182"/>
    </row>
    <row r="389">
      <c r="S389" s="182"/>
    </row>
    <row r="390">
      <c r="S390" s="182"/>
    </row>
    <row r="391">
      <c r="S391" s="182"/>
    </row>
    <row r="392">
      <c r="S392" s="182"/>
    </row>
    <row r="393">
      <c r="S393" s="182"/>
    </row>
    <row r="394">
      <c r="S394" s="182"/>
    </row>
    <row r="395">
      <c r="S395" s="182"/>
    </row>
    <row r="396">
      <c r="S396" s="182"/>
    </row>
    <row r="397">
      <c r="S397" s="182"/>
    </row>
    <row r="398">
      <c r="S398" s="182"/>
    </row>
    <row r="399">
      <c r="S399" s="182"/>
    </row>
    <row r="400">
      <c r="S400" s="182"/>
    </row>
    <row r="401">
      <c r="S401" s="182"/>
    </row>
    <row r="402">
      <c r="S402" s="182"/>
    </row>
    <row r="403">
      <c r="S403" s="182"/>
    </row>
    <row r="404">
      <c r="S404" s="182"/>
    </row>
    <row r="405">
      <c r="S405" s="182"/>
    </row>
    <row r="406">
      <c r="S406" s="182"/>
    </row>
    <row r="407">
      <c r="S407" s="182"/>
    </row>
    <row r="408">
      <c r="S408" s="182"/>
    </row>
    <row r="409">
      <c r="S409" s="182"/>
    </row>
    <row r="410">
      <c r="S410" s="182"/>
    </row>
    <row r="411">
      <c r="S411" s="182"/>
    </row>
    <row r="412">
      <c r="S412" s="182"/>
    </row>
    <row r="413">
      <c r="S413" s="182"/>
    </row>
    <row r="414">
      <c r="S414" s="182"/>
    </row>
    <row r="415">
      <c r="S415" s="182"/>
    </row>
    <row r="416">
      <c r="S416" s="182"/>
    </row>
    <row r="417">
      <c r="S417" s="182"/>
    </row>
    <row r="418">
      <c r="S418" s="182"/>
    </row>
    <row r="419">
      <c r="S419" s="182"/>
    </row>
    <row r="420">
      <c r="S420" s="182"/>
    </row>
    <row r="421">
      <c r="S421" s="182"/>
    </row>
    <row r="422">
      <c r="S422" s="182"/>
    </row>
    <row r="423">
      <c r="S423" s="182"/>
    </row>
    <row r="424">
      <c r="S424" s="182"/>
    </row>
    <row r="425">
      <c r="S425" s="182"/>
    </row>
    <row r="426">
      <c r="S426" s="182"/>
    </row>
    <row r="427">
      <c r="S427" s="182"/>
    </row>
    <row r="428">
      <c r="S428" s="182"/>
    </row>
    <row r="429">
      <c r="S429" s="182"/>
    </row>
    <row r="430">
      <c r="S430" s="182"/>
    </row>
    <row r="431">
      <c r="S431" s="182"/>
    </row>
    <row r="432">
      <c r="S432" s="182"/>
    </row>
    <row r="433">
      <c r="S433" s="182"/>
    </row>
    <row r="434">
      <c r="S434" s="182"/>
    </row>
    <row r="435">
      <c r="S435" s="182"/>
    </row>
    <row r="436">
      <c r="S436" s="182"/>
    </row>
    <row r="437">
      <c r="S437" s="182"/>
    </row>
    <row r="438">
      <c r="S438" s="182"/>
    </row>
    <row r="439">
      <c r="S439" s="182"/>
    </row>
    <row r="440">
      <c r="S440" s="182"/>
    </row>
    <row r="441">
      <c r="S441" s="182"/>
    </row>
    <row r="442">
      <c r="S442" s="182"/>
    </row>
    <row r="443">
      <c r="S443" s="182"/>
    </row>
    <row r="444">
      <c r="S444" s="182"/>
    </row>
    <row r="445">
      <c r="S445" s="182"/>
    </row>
    <row r="446">
      <c r="S446" s="182"/>
    </row>
    <row r="447">
      <c r="S447" s="182"/>
    </row>
    <row r="448">
      <c r="S448" s="182"/>
    </row>
    <row r="449">
      <c r="S449" s="182"/>
    </row>
    <row r="450">
      <c r="S450" s="182"/>
    </row>
    <row r="451">
      <c r="S451" s="182"/>
    </row>
    <row r="452">
      <c r="S452" s="182"/>
    </row>
    <row r="453">
      <c r="S453" s="182"/>
    </row>
    <row r="454">
      <c r="S454" s="182"/>
    </row>
    <row r="455">
      <c r="S455" s="182"/>
    </row>
    <row r="456">
      <c r="S456" s="182"/>
    </row>
    <row r="457">
      <c r="S457" s="182"/>
    </row>
    <row r="458">
      <c r="S458" s="182"/>
    </row>
    <row r="459">
      <c r="S459" s="182"/>
    </row>
    <row r="460">
      <c r="S460" s="182"/>
    </row>
    <row r="461">
      <c r="S461" s="182"/>
    </row>
    <row r="462">
      <c r="S462" s="182"/>
    </row>
    <row r="463">
      <c r="S463" s="182"/>
    </row>
    <row r="464">
      <c r="S464" s="182"/>
    </row>
    <row r="465">
      <c r="S465" s="182"/>
    </row>
    <row r="466">
      <c r="S466" s="182"/>
    </row>
    <row r="467">
      <c r="S467" s="182"/>
    </row>
    <row r="468">
      <c r="S468" s="182"/>
    </row>
    <row r="469">
      <c r="S469" s="182"/>
    </row>
    <row r="470">
      <c r="S470" s="182"/>
    </row>
    <row r="471">
      <c r="S471" s="182"/>
    </row>
    <row r="472">
      <c r="S472" s="182"/>
    </row>
    <row r="473">
      <c r="S473" s="182"/>
    </row>
    <row r="474">
      <c r="S474" s="182"/>
    </row>
    <row r="475">
      <c r="S475" s="182"/>
    </row>
    <row r="476">
      <c r="S476" s="182"/>
    </row>
    <row r="477">
      <c r="S477" s="182"/>
    </row>
    <row r="478">
      <c r="S478" s="182"/>
    </row>
    <row r="479">
      <c r="S479" s="182"/>
    </row>
    <row r="480">
      <c r="S480" s="182"/>
    </row>
    <row r="481">
      <c r="S481" s="182"/>
    </row>
    <row r="482">
      <c r="S482" s="182"/>
    </row>
    <row r="483">
      <c r="S483" s="182"/>
    </row>
    <row r="484">
      <c r="S484" s="182"/>
    </row>
    <row r="485">
      <c r="S485" s="182"/>
    </row>
    <row r="486">
      <c r="S486" s="182"/>
    </row>
    <row r="487">
      <c r="S487" s="182"/>
    </row>
    <row r="488">
      <c r="S488" s="182"/>
    </row>
    <row r="489">
      <c r="S489" s="182"/>
    </row>
    <row r="490">
      <c r="S490" s="182"/>
    </row>
    <row r="491">
      <c r="S491" s="182"/>
    </row>
    <row r="492">
      <c r="S492" s="182"/>
    </row>
    <row r="493">
      <c r="S493" s="182"/>
    </row>
    <row r="494">
      <c r="S494" s="182"/>
    </row>
    <row r="495">
      <c r="S495" s="182"/>
    </row>
    <row r="496">
      <c r="S496" s="182"/>
    </row>
    <row r="497">
      <c r="S497" s="182"/>
    </row>
    <row r="498">
      <c r="S498" s="182"/>
    </row>
    <row r="499">
      <c r="S499" s="182"/>
    </row>
    <row r="500">
      <c r="S500" s="182"/>
    </row>
    <row r="501">
      <c r="S501" s="182"/>
    </row>
    <row r="502">
      <c r="S502" s="182"/>
    </row>
    <row r="503">
      <c r="S503" s="182"/>
    </row>
    <row r="504">
      <c r="S504" s="182"/>
    </row>
    <row r="505">
      <c r="S505" s="182"/>
    </row>
    <row r="506">
      <c r="S506" s="182"/>
    </row>
    <row r="507">
      <c r="S507" s="182"/>
    </row>
    <row r="508">
      <c r="S508" s="182"/>
    </row>
    <row r="509">
      <c r="S509" s="182"/>
    </row>
    <row r="510">
      <c r="S510" s="182"/>
    </row>
    <row r="511">
      <c r="S511" s="182"/>
    </row>
    <row r="512">
      <c r="S512" s="182"/>
    </row>
    <row r="513">
      <c r="S513" s="182"/>
    </row>
    <row r="514">
      <c r="S514" s="182"/>
    </row>
    <row r="515">
      <c r="S515" s="182"/>
    </row>
    <row r="516">
      <c r="S516" s="182"/>
    </row>
    <row r="517">
      <c r="S517" s="182"/>
    </row>
    <row r="518">
      <c r="S518" s="182"/>
    </row>
    <row r="519">
      <c r="S519" s="182"/>
    </row>
    <row r="520">
      <c r="S520" s="182"/>
    </row>
    <row r="521">
      <c r="S521" s="182"/>
    </row>
    <row r="522">
      <c r="S522" s="182"/>
    </row>
    <row r="523">
      <c r="S523" s="182"/>
    </row>
    <row r="524">
      <c r="S524" s="182"/>
    </row>
    <row r="525">
      <c r="S525" s="182"/>
    </row>
    <row r="526">
      <c r="S526" s="182"/>
    </row>
    <row r="527">
      <c r="S527" s="182"/>
    </row>
    <row r="528">
      <c r="S528" s="182"/>
    </row>
    <row r="529">
      <c r="S529" s="182"/>
    </row>
    <row r="530">
      <c r="S530" s="182"/>
    </row>
    <row r="531">
      <c r="S531" s="182"/>
    </row>
    <row r="532">
      <c r="S532" s="182"/>
    </row>
    <row r="533">
      <c r="S533" s="182"/>
    </row>
    <row r="534">
      <c r="S534" s="182"/>
    </row>
    <row r="535">
      <c r="S535" s="182"/>
    </row>
    <row r="536">
      <c r="S536" s="182"/>
    </row>
    <row r="537">
      <c r="S537" s="182"/>
    </row>
    <row r="538">
      <c r="S538" s="182"/>
    </row>
    <row r="539">
      <c r="S539" s="182"/>
    </row>
    <row r="540">
      <c r="S540" s="182"/>
    </row>
    <row r="541">
      <c r="S541" s="182"/>
    </row>
    <row r="542">
      <c r="S542" s="182"/>
    </row>
    <row r="543">
      <c r="S543" s="182"/>
    </row>
    <row r="544">
      <c r="S544" s="182"/>
    </row>
    <row r="545">
      <c r="S545" s="182"/>
    </row>
    <row r="546">
      <c r="S546" s="182"/>
    </row>
    <row r="547">
      <c r="S547" s="182"/>
    </row>
    <row r="548">
      <c r="S548" s="182"/>
    </row>
    <row r="549">
      <c r="S549" s="182"/>
    </row>
    <row r="550">
      <c r="S550" s="182"/>
    </row>
    <row r="551">
      <c r="S551" s="182"/>
    </row>
    <row r="552">
      <c r="S552" s="182"/>
    </row>
    <row r="553">
      <c r="S553" s="182"/>
    </row>
    <row r="554">
      <c r="S554" s="182"/>
    </row>
    <row r="555">
      <c r="S555" s="182"/>
    </row>
    <row r="556">
      <c r="S556" s="182"/>
    </row>
    <row r="557">
      <c r="S557" s="182"/>
    </row>
    <row r="558">
      <c r="S558" s="182"/>
    </row>
    <row r="559">
      <c r="S559" s="182"/>
    </row>
    <row r="560">
      <c r="S560" s="182"/>
    </row>
    <row r="561">
      <c r="S561" s="182"/>
    </row>
    <row r="562">
      <c r="S562" s="182"/>
    </row>
    <row r="563">
      <c r="S563" s="182"/>
    </row>
    <row r="564">
      <c r="S564" s="182"/>
    </row>
    <row r="565">
      <c r="S565" s="182"/>
    </row>
    <row r="566">
      <c r="S566" s="182"/>
    </row>
    <row r="567">
      <c r="S567" s="182"/>
    </row>
    <row r="568">
      <c r="S568" s="182"/>
    </row>
    <row r="569">
      <c r="S569" s="182"/>
    </row>
    <row r="570">
      <c r="S570" s="182"/>
    </row>
    <row r="571">
      <c r="S571" s="182"/>
    </row>
    <row r="572">
      <c r="S572" s="182"/>
    </row>
    <row r="573">
      <c r="S573" s="182"/>
    </row>
    <row r="574">
      <c r="S574" s="182"/>
    </row>
    <row r="575">
      <c r="S575" s="182"/>
    </row>
    <row r="576">
      <c r="S576" s="182"/>
    </row>
    <row r="577">
      <c r="S577" s="182"/>
    </row>
    <row r="578">
      <c r="S578" s="182"/>
    </row>
    <row r="579">
      <c r="S579" s="182"/>
    </row>
    <row r="580">
      <c r="S580" s="182"/>
    </row>
    <row r="581">
      <c r="S581" s="182"/>
    </row>
    <row r="582">
      <c r="S582" s="182"/>
    </row>
    <row r="583">
      <c r="S583" s="182"/>
    </row>
    <row r="584">
      <c r="S584" s="182"/>
    </row>
    <row r="585">
      <c r="S585" s="182"/>
    </row>
    <row r="586">
      <c r="S586" s="182"/>
    </row>
    <row r="587">
      <c r="S587" s="182"/>
    </row>
    <row r="588">
      <c r="S588" s="182"/>
    </row>
    <row r="589">
      <c r="S589" s="182"/>
    </row>
    <row r="590">
      <c r="S590" s="182"/>
    </row>
    <row r="591">
      <c r="S591" s="182"/>
    </row>
    <row r="592">
      <c r="S592" s="182"/>
    </row>
    <row r="593">
      <c r="S593" s="182"/>
    </row>
    <row r="594">
      <c r="S594" s="182"/>
    </row>
    <row r="595">
      <c r="S595" s="182"/>
    </row>
    <row r="596">
      <c r="S596" s="182"/>
    </row>
    <row r="597">
      <c r="S597" s="182"/>
    </row>
    <row r="598">
      <c r="S598" s="182"/>
    </row>
    <row r="599">
      <c r="S599" s="182"/>
    </row>
    <row r="600">
      <c r="S600" s="182"/>
    </row>
    <row r="601">
      <c r="S601" s="182"/>
    </row>
    <row r="602">
      <c r="S602" s="182"/>
    </row>
    <row r="603">
      <c r="S603" s="182"/>
    </row>
    <row r="604">
      <c r="S604" s="182"/>
    </row>
    <row r="605">
      <c r="S605" s="182"/>
    </row>
    <row r="606">
      <c r="S606" s="182"/>
    </row>
    <row r="607">
      <c r="S607" s="182"/>
    </row>
    <row r="608">
      <c r="S608" s="182"/>
    </row>
    <row r="609">
      <c r="S609" s="182"/>
    </row>
    <row r="610">
      <c r="S610" s="182"/>
    </row>
    <row r="611">
      <c r="S611" s="182"/>
    </row>
    <row r="612">
      <c r="S612" s="182"/>
    </row>
    <row r="613">
      <c r="S613" s="182"/>
    </row>
    <row r="614">
      <c r="S614" s="182"/>
    </row>
    <row r="615">
      <c r="S615" s="182"/>
    </row>
    <row r="616">
      <c r="S616" s="182"/>
    </row>
    <row r="617">
      <c r="S617" s="182"/>
    </row>
    <row r="618">
      <c r="S618" s="182"/>
    </row>
    <row r="619">
      <c r="S619" s="182"/>
    </row>
    <row r="620">
      <c r="S620" s="182"/>
    </row>
    <row r="621">
      <c r="S621" s="182"/>
    </row>
    <row r="622">
      <c r="S622" s="182"/>
    </row>
    <row r="623">
      <c r="S623" s="182"/>
    </row>
    <row r="624">
      <c r="S624" s="182"/>
    </row>
    <row r="625">
      <c r="S625" s="182"/>
    </row>
    <row r="626">
      <c r="S626" s="182"/>
    </row>
    <row r="627">
      <c r="S627" s="182"/>
    </row>
    <row r="628">
      <c r="S628" s="182"/>
    </row>
    <row r="629">
      <c r="S629" s="182"/>
    </row>
    <row r="630">
      <c r="S630" s="182"/>
    </row>
    <row r="631">
      <c r="S631" s="182"/>
    </row>
    <row r="632">
      <c r="S632" s="182"/>
    </row>
    <row r="633">
      <c r="S633" s="182"/>
    </row>
    <row r="634">
      <c r="S634" s="182"/>
    </row>
    <row r="635">
      <c r="S635" s="182"/>
    </row>
    <row r="636">
      <c r="S636" s="182"/>
    </row>
    <row r="637">
      <c r="S637" s="182"/>
    </row>
    <row r="638">
      <c r="S638" s="182"/>
    </row>
    <row r="639">
      <c r="S639" s="182"/>
    </row>
    <row r="640">
      <c r="S640" s="182"/>
    </row>
    <row r="641">
      <c r="S641" s="182"/>
    </row>
    <row r="642">
      <c r="S642" s="182"/>
    </row>
    <row r="643">
      <c r="S643" s="182"/>
    </row>
    <row r="644">
      <c r="S644" s="182"/>
    </row>
    <row r="645">
      <c r="S645" s="182"/>
    </row>
    <row r="646">
      <c r="S646" s="182"/>
    </row>
    <row r="647">
      <c r="S647" s="182"/>
    </row>
    <row r="648">
      <c r="S648" s="182"/>
    </row>
    <row r="649">
      <c r="S649" s="182"/>
    </row>
    <row r="650">
      <c r="S650" s="182"/>
    </row>
    <row r="651">
      <c r="S651" s="182"/>
    </row>
    <row r="652">
      <c r="S652" s="182"/>
    </row>
    <row r="653">
      <c r="S653" s="182"/>
    </row>
    <row r="654">
      <c r="S654" s="182"/>
    </row>
    <row r="655">
      <c r="S655" s="182"/>
    </row>
    <row r="656">
      <c r="S656" s="182"/>
    </row>
    <row r="657">
      <c r="S657" s="182"/>
    </row>
    <row r="658">
      <c r="S658" s="182"/>
    </row>
    <row r="659">
      <c r="S659" s="182"/>
    </row>
    <row r="660">
      <c r="S660" s="182"/>
    </row>
    <row r="661">
      <c r="S661" s="182"/>
    </row>
    <row r="662">
      <c r="S662" s="182"/>
    </row>
    <row r="663">
      <c r="S663" s="182"/>
    </row>
    <row r="664">
      <c r="S664" s="182"/>
    </row>
    <row r="665">
      <c r="S665" s="182"/>
    </row>
    <row r="666">
      <c r="S666" s="182"/>
    </row>
    <row r="667">
      <c r="S667" s="182"/>
    </row>
    <row r="668">
      <c r="S668" s="182"/>
    </row>
    <row r="669">
      <c r="S669" s="182"/>
    </row>
    <row r="670">
      <c r="S670" s="182"/>
    </row>
    <row r="671">
      <c r="S671" s="182"/>
    </row>
    <row r="672">
      <c r="S672" s="182"/>
    </row>
    <row r="673">
      <c r="S673" s="182"/>
    </row>
    <row r="674">
      <c r="S674" s="182"/>
    </row>
    <row r="675">
      <c r="S675" s="182"/>
    </row>
    <row r="676">
      <c r="S676" s="182"/>
    </row>
    <row r="677">
      <c r="S677" s="182"/>
    </row>
    <row r="678">
      <c r="S678" s="182"/>
    </row>
    <row r="679">
      <c r="S679" s="182"/>
    </row>
    <row r="680">
      <c r="S680" s="182"/>
    </row>
    <row r="681">
      <c r="S681" s="182"/>
    </row>
    <row r="682">
      <c r="S682" s="182"/>
    </row>
    <row r="683">
      <c r="S683" s="182"/>
    </row>
    <row r="684">
      <c r="S684" s="182"/>
    </row>
    <row r="685">
      <c r="S685" s="182"/>
    </row>
    <row r="686">
      <c r="S686" s="182"/>
    </row>
    <row r="687">
      <c r="S687" s="182"/>
    </row>
    <row r="688">
      <c r="S688" s="182"/>
    </row>
    <row r="689">
      <c r="S689" s="182"/>
    </row>
    <row r="690">
      <c r="S690" s="182"/>
    </row>
    <row r="691">
      <c r="S691" s="182"/>
    </row>
    <row r="692">
      <c r="S692" s="182"/>
    </row>
    <row r="693">
      <c r="S693" s="182"/>
    </row>
    <row r="694">
      <c r="S694" s="182"/>
    </row>
    <row r="695">
      <c r="S695" s="182"/>
    </row>
    <row r="696">
      <c r="S696" s="182"/>
    </row>
    <row r="697">
      <c r="S697" s="182"/>
    </row>
    <row r="698">
      <c r="S698" s="182"/>
    </row>
    <row r="699">
      <c r="S699" s="182"/>
    </row>
    <row r="700">
      <c r="S700" s="182"/>
    </row>
    <row r="701">
      <c r="S701" s="182"/>
    </row>
    <row r="702">
      <c r="S702" s="182"/>
    </row>
    <row r="703">
      <c r="S703" s="182"/>
    </row>
    <row r="704">
      <c r="S704" s="182"/>
    </row>
    <row r="705">
      <c r="S705" s="182"/>
    </row>
    <row r="706">
      <c r="S706" s="182"/>
    </row>
    <row r="707">
      <c r="S707" s="182"/>
    </row>
    <row r="708">
      <c r="S708" s="182"/>
    </row>
    <row r="709">
      <c r="S709" s="182"/>
    </row>
    <row r="710">
      <c r="S710" s="182"/>
    </row>
    <row r="711">
      <c r="S711" s="182"/>
    </row>
    <row r="712">
      <c r="S712" s="182"/>
    </row>
    <row r="713">
      <c r="S713" s="182"/>
    </row>
    <row r="714">
      <c r="S714" s="182"/>
    </row>
    <row r="715">
      <c r="S715" s="182"/>
    </row>
    <row r="716">
      <c r="S716" s="182"/>
    </row>
    <row r="717">
      <c r="S717" s="182"/>
    </row>
    <row r="718">
      <c r="S718" s="182"/>
    </row>
    <row r="719">
      <c r="S719" s="182"/>
    </row>
    <row r="720">
      <c r="S720" s="182"/>
    </row>
    <row r="721">
      <c r="S721" s="182"/>
    </row>
    <row r="722">
      <c r="S722" s="182"/>
    </row>
    <row r="723">
      <c r="S723" s="182"/>
    </row>
    <row r="724">
      <c r="S724" s="182"/>
    </row>
    <row r="725">
      <c r="S725" s="182"/>
    </row>
    <row r="726">
      <c r="S726" s="182"/>
    </row>
    <row r="727">
      <c r="S727" s="182"/>
    </row>
    <row r="728">
      <c r="S728" s="182"/>
    </row>
    <row r="729">
      <c r="S729" s="182"/>
    </row>
    <row r="730">
      <c r="S730" s="182"/>
    </row>
    <row r="731">
      <c r="S731" s="182"/>
    </row>
    <row r="732">
      <c r="S732" s="182"/>
    </row>
    <row r="733">
      <c r="S733" s="182"/>
    </row>
    <row r="734">
      <c r="S734" s="182"/>
    </row>
    <row r="735">
      <c r="S735" s="182"/>
    </row>
    <row r="736">
      <c r="S736" s="182"/>
    </row>
    <row r="737">
      <c r="S737" s="182"/>
    </row>
    <row r="738">
      <c r="S738" s="182"/>
    </row>
    <row r="739">
      <c r="S739" s="182"/>
    </row>
    <row r="740">
      <c r="S740" s="182"/>
    </row>
    <row r="741">
      <c r="S741" s="182"/>
    </row>
    <row r="742">
      <c r="S742" s="182"/>
    </row>
    <row r="743">
      <c r="S743" s="182"/>
    </row>
    <row r="744">
      <c r="S744" s="182"/>
    </row>
    <row r="745">
      <c r="S745" s="182"/>
    </row>
    <row r="746">
      <c r="S746" s="182"/>
    </row>
    <row r="747">
      <c r="S747" s="182"/>
    </row>
    <row r="748">
      <c r="S748" s="182"/>
    </row>
    <row r="749">
      <c r="S749" s="182"/>
    </row>
    <row r="750">
      <c r="S750" s="182"/>
    </row>
    <row r="751">
      <c r="S751" s="182"/>
    </row>
    <row r="752">
      <c r="S752" s="182"/>
    </row>
    <row r="753">
      <c r="S753" s="182"/>
    </row>
    <row r="754">
      <c r="S754" s="182"/>
    </row>
    <row r="755">
      <c r="S755" s="182"/>
    </row>
    <row r="756">
      <c r="S756" s="182"/>
    </row>
    <row r="757">
      <c r="S757" s="182"/>
    </row>
    <row r="758">
      <c r="S758" s="182"/>
    </row>
    <row r="759">
      <c r="S759" s="182"/>
    </row>
    <row r="760">
      <c r="S760" s="182"/>
    </row>
    <row r="761">
      <c r="S761" s="182"/>
    </row>
    <row r="762">
      <c r="S762" s="182"/>
    </row>
    <row r="763">
      <c r="S763" s="182"/>
    </row>
    <row r="764">
      <c r="S764" s="182"/>
    </row>
    <row r="765">
      <c r="S765" s="182"/>
    </row>
    <row r="766">
      <c r="S766" s="182"/>
    </row>
    <row r="767">
      <c r="S767" s="182"/>
    </row>
    <row r="768">
      <c r="S768" s="182"/>
    </row>
    <row r="769">
      <c r="S769" s="182"/>
    </row>
    <row r="770">
      <c r="S770" s="182"/>
    </row>
    <row r="771">
      <c r="S771" s="182"/>
    </row>
    <row r="772">
      <c r="S772" s="182"/>
    </row>
    <row r="773">
      <c r="S773" s="182"/>
    </row>
    <row r="774">
      <c r="S774" s="182"/>
    </row>
    <row r="775">
      <c r="S775" s="182"/>
    </row>
    <row r="776">
      <c r="S776" s="182"/>
    </row>
    <row r="777">
      <c r="S777" s="182"/>
    </row>
    <row r="778">
      <c r="S778" s="182"/>
    </row>
    <row r="779">
      <c r="S779" s="182"/>
    </row>
    <row r="780">
      <c r="S780" s="182"/>
    </row>
    <row r="781">
      <c r="S781" s="182"/>
    </row>
    <row r="782">
      <c r="S782" s="182"/>
    </row>
    <row r="783">
      <c r="S783" s="182"/>
    </row>
    <row r="784">
      <c r="S784" s="182"/>
    </row>
    <row r="785">
      <c r="S785" s="182"/>
    </row>
    <row r="786">
      <c r="S786" s="182"/>
    </row>
    <row r="787">
      <c r="S787" s="182"/>
    </row>
    <row r="788">
      <c r="S788" s="182"/>
    </row>
    <row r="789">
      <c r="S789" s="182"/>
    </row>
    <row r="790">
      <c r="S790" s="182"/>
    </row>
    <row r="791">
      <c r="S791" s="182"/>
    </row>
    <row r="792">
      <c r="S792" s="182"/>
    </row>
    <row r="793">
      <c r="S793" s="182"/>
    </row>
    <row r="794">
      <c r="S794" s="182"/>
    </row>
    <row r="795">
      <c r="S795" s="182"/>
    </row>
    <row r="796">
      <c r="S796" s="182"/>
    </row>
    <row r="797">
      <c r="S797" s="182"/>
    </row>
    <row r="798">
      <c r="S798" s="182"/>
    </row>
    <row r="799">
      <c r="S799" s="182"/>
    </row>
    <row r="800">
      <c r="S800" s="182"/>
    </row>
    <row r="801">
      <c r="S801" s="182"/>
    </row>
    <row r="802">
      <c r="S802" s="182"/>
    </row>
    <row r="803">
      <c r="S803" s="182"/>
    </row>
    <row r="804">
      <c r="S804" s="182"/>
    </row>
    <row r="805">
      <c r="S805" s="182"/>
    </row>
    <row r="806">
      <c r="S806" s="182"/>
    </row>
    <row r="807">
      <c r="S807" s="182"/>
    </row>
    <row r="808">
      <c r="S808" s="182"/>
    </row>
    <row r="809">
      <c r="S809" s="182"/>
    </row>
    <row r="810">
      <c r="S810" s="182"/>
    </row>
    <row r="811">
      <c r="S811" s="182"/>
    </row>
    <row r="812">
      <c r="S812" s="182"/>
    </row>
    <row r="813">
      <c r="S813" s="182"/>
    </row>
    <row r="814">
      <c r="S814" s="182"/>
    </row>
    <row r="815">
      <c r="S815" s="182"/>
    </row>
    <row r="816">
      <c r="S816" s="182"/>
    </row>
    <row r="817">
      <c r="S817" s="182"/>
    </row>
    <row r="818">
      <c r="S818" s="182"/>
    </row>
    <row r="819">
      <c r="S819" s="182"/>
    </row>
    <row r="820">
      <c r="S820" s="182"/>
    </row>
    <row r="821">
      <c r="S821" s="182"/>
    </row>
    <row r="822">
      <c r="S822" s="182"/>
    </row>
    <row r="823">
      <c r="S823" s="182"/>
    </row>
    <row r="824">
      <c r="S824" s="182"/>
    </row>
    <row r="825">
      <c r="S825" s="182"/>
    </row>
    <row r="826">
      <c r="S826" s="182"/>
    </row>
    <row r="827">
      <c r="S827" s="182"/>
    </row>
    <row r="828">
      <c r="S828" s="182"/>
    </row>
    <row r="829">
      <c r="S829" s="182"/>
    </row>
    <row r="830">
      <c r="S830" s="182"/>
    </row>
    <row r="831">
      <c r="S831" s="182"/>
    </row>
    <row r="832">
      <c r="S832" s="182"/>
    </row>
    <row r="833">
      <c r="S833" s="182"/>
    </row>
    <row r="834">
      <c r="S834" s="182"/>
    </row>
    <row r="835">
      <c r="S835" s="182"/>
    </row>
    <row r="836">
      <c r="S836" s="182"/>
    </row>
    <row r="837">
      <c r="S837" s="182"/>
    </row>
    <row r="838">
      <c r="S838" s="182"/>
    </row>
    <row r="839">
      <c r="S839" s="182"/>
    </row>
    <row r="840">
      <c r="S840" s="182"/>
    </row>
    <row r="841">
      <c r="S841" s="182"/>
    </row>
    <row r="842">
      <c r="S842" s="182"/>
    </row>
    <row r="843">
      <c r="S843" s="182"/>
    </row>
    <row r="844">
      <c r="S844" s="182"/>
    </row>
    <row r="845">
      <c r="S845" s="182"/>
    </row>
    <row r="846">
      <c r="S846" s="182"/>
    </row>
    <row r="847">
      <c r="S847" s="182"/>
    </row>
    <row r="848">
      <c r="S848" s="182"/>
    </row>
    <row r="849">
      <c r="S849" s="182"/>
    </row>
    <row r="850">
      <c r="S850" s="182"/>
    </row>
    <row r="851">
      <c r="S851" s="182"/>
    </row>
    <row r="852">
      <c r="S852" s="182"/>
    </row>
    <row r="853">
      <c r="S853" s="182"/>
    </row>
    <row r="854">
      <c r="S854" s="182"/>
    </row>
    <row r="855">
      <c r="S855" s="182"/>
    </row>
    <row r="856">
      <c r="S856" s="182"/>
    </row>
    <row r="857">
      <c r="S857" s="182"/>
    </row>
    <row r="858">
      <c r="S858" s="182"/>
    </row>
    <row r="859">
      <c r="S859" s="182"/>
    </row>
    <row r="860">
      <c r="S860" s="182"/>
    </row>
    <row r="861">
      <c r="S861" s="182"/>
    </row>
    <row r="862">
      <c r="S862" s="182"/>
    </row>
    <row r="863">
      <c r="S863" s="182"/>
    </row>
    <row r="864">
      <c r="S864" s="182"/>
    </row>
    <row r="865">
      <c r="S865" s="182"/>
    </row>
    <row r="866">
      <c r="S866" s="182"/>
    </row>
    <row r="867">
      <c r="S867" s="182"/>
    </row>
    <row r="868">
      <c r="S868" s="182"/>
    </row>
    <row r="869">
      <c r="S869" s="182"/>
    </row>
    <row r="870">
      <c r="S870" s="182"/>
    </row>
    <row r="871">
      <c r="S871" s="182"/>
    </row>
    <row r="872">
      <c r="S872" s="182"/>
    </row>
    <row r="873">
      <c r="S873" s="182"/>
    </row>
    <row r="874">
      <c r="S874" s="182"/>
    </row>
    <row r="875">
      <c r="S875" s="182"/>
    </row>
    <row r="876">
      <c r="S876" s="182"/>
    </row>
    <row r="877">
      <c r="S877" s="182"/>
    </row>
    <row r="878">
      <c r="S878" s="182"/>
    </row>
    <row r="879">
      <c r="S879" s="182"/>
    </row>
    <row r="880">
      <c r="S880" s="182"/>
    </row>
    <row r="881">
      <c r="S881" s="182"/>
    </row>
    <row r="882">
      <c r="S882" s="182"/>
    </row>
    <row r="883">
      <c r="S883" s="182"/>
    </row>
    <row r="884">
      <c r="S884" s="182"/>
    </row>
    <row r="885">
      <c r="S885" s="182"/>
    </row>
    <row r="886">
      <c r="S886" s="182"/>
    </row>
    <row r="887">
      <c r="S887" s="182"/>
    </row>
    <row r="888">
      <c r="S888" s="182"/>
    </row>
    <row r="889">
      <c r="S889" s="182"/>
    </row>
    <row r="890">
      <c r="S890" s="182"/>
    </row>
    <row r="891">
      <c r="S891" s="182"/>
    </row>
    <row r="892">
      <c r="S892" s="182"/>
    </row>
    <row r="893">
      <c r="S893" s="182"/>
    </row>
    <row r="894">
      <c r="S894" s="182"/>
    </row>
    <row r="895">
      <c r="S895" s="182"/>
    </row>
    <row r="896">
      <c r="S896" s="182"/>
    </row>
    <row r="897">
      <c r="S897" s="182"/>
    </row>
    <row r="898">
      <c r="S898" s="182"/>
    </row>
    <row r="899">
      <c r="S899" s="182"/>
    </row>
    <row r="900">
      <c r="S900" s="182"/>
    </row>
    <row r="901">
      <c r="S901" s="182"/>
    </row>
    <row r="902">
      <c r="S902" s="182"/>
    </row>
    <row r="903">
      <c r="S903" s="182"/>
    </row>
    <row r="904">
      <c r="S904" s="182"/>
    </row>
    <row r="905">
      <c r="S905" s="182"/>
    </row>
    <row r="906">
      <c r="S906" s="182"/>
    </row>
    <row r="907">
      <c r="S907" s="182"/>
    </row>
    <row r="908">
      <c r="S908" s="182"/>
    </row>
    <row r="909">
      <c r="S909" s="182"/>
    </row>
    <row r="910">
      <c r="S910" s="182"/>
    </row>
    <row r="911">
      <c r="S911" s="182"/>
    </row>
    <row r="912">
      <c r="S912" s="182"/>
    </row>
    <row r="913">
      <c r="S913" s="182"/>
    </row>
    <row r="914">
      <c r="S914" s="182"/>
    </row>
    <row r="915">
      <c r="S915" s="182"/>
    </row>
    <row r="916">
      <c r="S916" s="182"/>
    </row>
    <row r="917">
      <c r="S917" s="182"/>
    </row>
    <row r="918">
      <c r="S918" s="182"/>
    </row>
    <row r="919">
      <c r="S919" s="182"/>
    </row>
    <row r="920">
      <c r="S920" s="182"/>
    </row>
    <row r="921">
      <c r="S921" s="182"/>
    </row>
    <row r="922">
      <c r="S922" s="182"/>
    </row>
    <row r="923">
      <c r="S923" s="182"/>
    </row>
    <row r="924">
      <c r="S924" s="182"/>
    </row>
    <row r="925">
      <c r="S925" s="182"/>
    </row>
    <row r="926">
      <c r="S926" s="182"/>
    </row>
    <row r="927">
      <c r="S927" s="182"/>
    </row>
    <row r="928">
      <c r="S928" s="182"/>
    </row>
    <row r="929">
      <c r="S929" s="182"/>
    </row>
    <row r="930">
      <c r="S930" s="182"/>
    </row>
    <row r="931">
      <c r="S931" s="182"/>
    </row>
    <row r="932">
      <c r="S932" s="182"/>
    </row>
    <row r="933">
      <c r="S933" s="182"/>
    </row>
    <row r="934">
      <c r="S934" s="182"/>
    </row>
    <row r="935">
      <c r="S935" s="182"/>
    </row>
    <row r="936">
      <c r="S936" s="182"/>
    </row>
    <row r="937">
      <c r="S937" s="182"/>
    </row>
    <row r="938">
      <c r="S938" s="182"/>
    </row>
    <row r="939">
      <c r="S939" s="182"/>
    </row>
    <row r="940">
      <c r="S940" s="182"/>
    </row>
    <row r="941">
      <c r="S941" s="182"/>
    </row>
    <row r="942">
      <c r="S942" s="182"/>
    </row>
    <row r="943">
      <c r="S943" s="182"/>
    </row>
    <row r="944">
      <c r="S944" s="182"/>
    </row>
    <row r="945">
      <c r="S945" s="182"/>
    </row>
    <row r="946">
      <c r="S946" s="182"/>
    </row>
    <row r="947">
      <c r="S947" s="182"/>
    </row>
    <row r="948">
      <c r="S948" s="182"/>
    </row>
    <row r="949">
      <c r="S949" s="182"/>
    </row>
    <row r="950">
      <c r="S950" s="182"/>
    </row>
    <row r="951">
      <c r="S951" s="182"/>
    </row>
    <row r="952">
      <c r="S952" s="182"/>
    </row>
    <row r="953">
      <c r="S953" s="182"/>
    </row>
    <row r="954">
      <c r="S954" s="182"/>
    </row>
    <row r="955">
      <c r="S955" s="182"/>
    </row>
    <row r="956">
      <c r="S956" s="182"/>
    </row>
    <row r="957">
      <c r="S957" s="182"/>
    </row>
    <row r="958">
      <c r="S958" s="182"/>
    </row>
    <row r="959">
      <c r="S959" s="182"/>
    </row>
    <row r="960">
      <c r="S960" s="182"/>
    </row>
    <row r="961">
      <c r="S961" s="182"/>
    </row>
    <row r="962">
      <c r="S962" s="182"/>
    </row>
    <row r="963">
      <c r="S963" s="182"/>
    </row>
    <row r="964">
      <c r="S964" s="182"/>
    </row>
    <row r="965">
      <c r="S965" s="182"/>
    </row>
    <row r="966">
      <c r="S966" s="182"/>
    </row>
    <row r="967">
      <c r="S967" s="182"/>
    </row>
    <row r="968">
      <c r="S968" s="182"/>
    </row>
    <row r="969">
      <c r="S969" s="182"/>
    </row>
    <row r="970">
      <c r="S970" s="182"/>
    </row>
    <row r="971">
      <c r="S971" s="182"/>
    </row>
    <row r="972">
      <c r="S972" s="182"/>
    </row>
    <row r="973">
      <c r="S973" s="182"/>
    </row>
    <row r="974">
      <c r="S974" s="182"/>
    </row>
    <row r="975">
      <c r="S975" s="182"/>
    </row>
    <row r="976">
      <c r="S976" s="182"/>
    </row>
    <row r="977">
      <c r="S977" s="182"/>
    </row>
    <row r="978">
      <c r="S978" s="182"/>
    </row>
    <row r="979">
      <c r="S979" s="182"/>
    </row>
    <row r="980">
      <c r="S980" s="182"/>
    </row>
    <row r="981">
      <c r="S981" s="182"/>
    </row>
    <row r="982">
      <c r="S982" s="182"/>
    </row>
    <row r="983">
      <c r="S983" s="182"/>
    </row>
    <row r="984">
      <c r="S984" s="182"/>
    </row>
    <row r="985">
      <c r="S985" s="182"/>
    </row>
    <row r="986">
      <c r="S986" s="182"/>
    </row>
    <row r="987">
      <c r="S987" s="182"/>
    </row>
    <row r="988">
      <c r="S988" s="182"/>
    </row>
    <row r="989">
      <c r="S989" s="182"/>
    </row>
    <row r="990">
      <c r="S990" s="182"/>
    </row>
    <row r="991">
      <c r="S991" s="182"/>
    </row>
    <row r="992">
      <c r="S992" s="182"/>
    </row>
    <row r="993">
      <c r="S993" s="182"/>
    </row>
    <row r="994">
      <c r="S994" s="182"/>
    </row>
    <row r="995">
      <c r="S995" s="182"/>
    </row>
    <row r="996">
      <c r="S996" s="182"/>
    </row>
    <row r="997">
      <c r="S997" s="182"/>
    </row>
    <row r="998">
      <c r="S998" s="182"/>
    </row>
    <row r="999">
      <c r="S999" s="182"/>
    </row>
    <row r="1000">
      <c r="S1000" s="182"/>
    </row>
    <row r="1001">
      <c r="S1001" s="182"/>
    </row>
    <row r="1002">
      <c r="S1002" s="182"/>
    </row>
    <row r="1003">
      <c r="S1003" s="182"/>
    </row>
    <row r="1004">
      <c r="S1004" s="182"/>
    </row>
    <row r="1005">
      <c r="S1005" s="182"/>
    </row>
    <row r="1006">
      <c r="S1006" s="182"/>
    </row>
    <row r="1007">
      <c r="S1007" s="182"/>
    </row>
    <row r="1008">
      <c r="S1008" s="182"/>
    </row>
    <row r="1009">
      <c r="S1009" s="182"/>
    </row>
    <row r="1010">
      <c r="S1010" s="182"/>
    </row>
    <row r="1011">
      <c r="S1011" s="182"/>
    </row>
    <row r="1012">
      <c r="S1012" s="182"/>
    </row>
    <row r="1013">
      <c r="S1013" s="182"/>
    </row>
    <row r="1014">
      <c r="S1014" s="182"/>
    </row>
    <row r="1015">
      <c r="S1015" s="182"/>
    </row>
  </sheetData>
  <mergeCells count="2">
    <mergeCell ref="S3:S5"/>
    <mergeCell ref="R4:R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  <col customWidth="1" min="3" max="3" width="19.5"/>
    <col customWidth="1" min="4" max="4" width="21.13"/>
  </cols>
  <sheetData>
    <row r="1">
      <c r="B1" s="1" t="s">
        <v>0</v>
      </c>
    </row>
    <row r="3">
      <c r="B3" s="115" t="s">
        <v>389</v>
      </c>
      <c r="C3" s="115" t="s">
        <v>390</v>
      </c>
      <c r="D3" s="115" t="s">
        <v>4</v>
      </c>
      <c r="E3" s="116" t="s">
        <v>5</v>
      </c>
      <c r="F3" s="117"/>
      <c r="G3" s="117"/>
      <c r="H3" s="118"/>
    </row>
    <row r="4">
      <c r="B4" s="47"/>
      <c r="C4" s="47"/>
      <c r="D4" s="47"/>
      <c r="E4" s="119">
        <v>2011.0</v>
      </c>
      <c r="F4" s="119">
        <v>2014.0</v>
      </c>
      <c r="G4" s="119">
        <v>2017.0</v>
      </c>
      <c r="H4" s="119">
        <v>2021.0</v>
      </c>
    </row>
    <row r="5">
      <c r="B5" s="50"/>
      <c r="C5" s="50"/>
      <c r="D5" s="50"/>
      <c r="E5" s="50"/>
      <c r="F5" s="50"/>
      <c r="G5" s="50"/>
      <c r="H5" s="50"/>
    </row>
    <row r="6">
      <c r="B6" s="120" t="s">
        <v>392</v>
      </c>
      <c r="C6" s="11" t="s">
        <v>393</v>
      </c>
      <c r="D6" s="20" t="s">
        <v>18</v>
      </c>
      <c r="E6" s="157">
        <v>12920.0</v>
      </c>
      <c r="F6" s="157">
        <v>48540.0</v>
      </c>
      <c r="G6" s="157">
        <v>53300.0</v>
      </c>
      <c r="H6" s="157">
        <v>68540.0</v>
      </c>
      <c r="I6" s="183"/>
    </row>
    <row r="7">
      <c r="B7" s="123" t="s">
        <v>392</v>
      </c>
      <c r="C7" s="124"/>
      <c r="D7" s="60" t="s">
        <v>15</v>
      </c>
      <c r="E7" s="162">
        <v>12920.0</v>
      </c>
      <c r="F7" s="162">
        <v>49540.0</v>
      </c>
      <c r="G7" s="162">
        <v>54600.0</v>
      </c>
      <c r="H7" s="162">
        <v>70300.0</v>
      </c>
    </row>
    <row r="8">
      <c r="B8" s="125" t="s">
        <v>392</v>
      </c>
      <c r="C8" s="50"/>
      <c r="D8" s="60" t="s">
        <v>20</v>
      </c>
      <c r="E8" s="162">
        <v>13995.0</v>
      </c>
      <c r="F8" s="163">
        <v>16792.0</v>
      </c>
      <c r="G8" s="163">
        <v>18500.0</v>
      </c>
      <c r="H8" s="163">
        <v>25300.0</v>
      </c>
    </row>
    <row r="9">
      <c r="B9" s="126"/>
      <c r="C9" s="127"/>
      <c r="D9" s="89"/>
      <c r="E9" s="128"/>
      <c r="F9" s="129"/>
      <c r="G9" s="128"/>
      <c r="H9" s="128"/>
      <c r="I9" s="184"/>
    </row>
    <row r="10">
      <c r="B10" s="125" t="s">
        <v>392</v>
      </c>
      <c r="C10" s="130" t="s">
        <v>292</v>
      </c>
      <c r="D10" s="57" t="s">
        <v>30</v>
      </c>
      <c r="E10" s="162">
        <v>18300.0</v>
      </c>
      <c r="F10" s="163">
        <v>30139.0</v>
      </c>
      <c r="G10" s="163">
        <v>37700.0</v>
      </c>
      <c r="H10" s="163">
        <v>40000.0</v>
      </c>
    </row>
    <row r="11">
      <c r="B11" s="120" t="s">
        <v>392</v>
      </c>
      <c r="C11" s="131"/>
      <c r="D11" s="57" t="s">
        <v>25</v>
      </c>
      <c r="E11" s="157">
        <v>12920.0</v>
      </c>
      <c r="F11" s="157">
        <v>30139.0</v>
      </c>
      <c r="G11" s="86">
        <v>77000.0</v>
      </c>
      <c r="H11" s="86">
        <v>102000.0</v>
      </c>
    </row>
    <row r="12">
      <c r="B12" s="120" t="s">
        <v>392</v>
      </c>
      <c r="C12" s="50"/>
      <c r="D12" s="57" t="s">
        <v>37</v>
      </c>
      <c r="E12" s="185">
        <v>18299.0</v>
      </c>
      <c r="F12" s="157">
        <v>33650.0</v>
      </c>
      <c r="G12" s="157">
        <v>41200.0</v>
      </c>
      <c r="H12" s="157">
        <v>54600.0</v>
      </c>
    </row>
    <row r="13">
      <c r="B13" s="133"/>
      <c r="C13" s="91"/>
      <c r="D13" s="91"/>
      <c r="E13" s="134"/>
      <c r="F13" s="134"/>
      <c r="G13" s="134"/>
      <c r="H13" s="134"/>
    </row>
    <row r="14">
      <c r="B14" s="120" t="s">
        <v>392</v>
      </c>
      <c r="C14" s="130" t="s">
        <v>308</v>
      </c>
      <c r="D14" s="57" t="s">
        <v>21</v>
      </c>
      <c r="E14" s="157">
        <v>6460.0</v>
      </c>
      <c r="F14" s="86">
        <v>16792.0</v>
      </c>
      <c r="G14" s="157">
        <v>27400.0</v>
      </c>
      <c r="H14" s="157">
        <v>35000.0</v>
      </c>
    </row>
    <row r="15">
      <c r="B15" s="120" t="s">
        <v>392</v>
      </c>
      <c r="C15" s="131"/>
      <c r="D15" s="57" t="s">
        <v>36</v>
      </c>
      <c r="E15" s="157">
        <v>13455.0</v>
      </c>
      <c r="F15" s="157">
        <v>19700.0</v>
      </c>
      <c r="G15" s="157">
        <v>26900.0</v>
      </c>
      <c r="H15" s="157">
        <v>39600.0</v>
      </c>
    </row>
    <row r="16">
      <c r="B16" s="120" t="s">
        <v>392</v>
      </c>
      <c r="C16" s="47"/>
      <c r="D16" s="57" t="s">
        <v>29</v>
      </c>
      <c r="E16" s="185">
        <v>18299.0</v>
      </c>
      <c r="F16" s="157">
        <v>35400.0</v>
      </c>
      <c r="G16" s="157">
        <v>41500.0</v>
      </c>
      <c r="H16" s="157">
        <v>48200.0</v>
      </c>
    </row>
    <row r="17">
      <c r="B17" s="120" t="s">
        <v>392</v>
      </c>
      <c r="C17" s="50"/>
      <c r="D17" s="57" t="s">
        <v>34</v>
      </c>
      <c r="E17" s="157">
        <v>16146.0</v>
      </c>
      <c r="F17" s="157">
        <v>32292.0</v>
      </c>
      <c r="G17" s="157">
        <v>35600.0</v>
      </c>
      <c r="H17" s="157">
        <v>90000.0</v>
      </c>
    </row>
    <row r="18">
      <c r="B18" s="133"/>
      <c r="C18" s="91"/>
      <c r="D18" s="91"/>
      <c r="E18" s="134"/>
      <c r="F18" s="134"/>
      <c r="G18" s="134"/>
      <c r="H18" s="134"/>
    </row>
    <row r="19">
      <c r="B19" s="120" t="s">
        <v>394</v>
      </c>
      <c r="C19" s="135" t="s">
        <v>331</v>
      </c>
      <c r="D19" s="57" t="s">
        <v>53</v>
      </c>
      <c r="E19" s="157">
        <v>17761.0</v>
      </c>
      <c r="F19" s="157">
        <v>24360.0</v>
      </c>
      <c r="G19" s="157">
        <v>35500.0</v>
      </c>
      <c r="H19" s="157">
        <v>42300.0</v>
      </c>
    </row>
    <row r="20">
      <c r="B20" s="120" t="s">
        <v>394</v>
      </c>
      <c r="C20" s="136"/>
      <c r="D20" s="57" t="s">
        <v>45</v>
      </c>
      <c r="E20" s="86">
        <v>13993.0</v>
      </c>
      <c r="F20" s="86">
        <v>23700.0</v>
      </c>
      <c r="G20" s="86">
        <v>26100.0</v>
      </c>
      <c r="H20" s="86">
        <v>40000.0</v>
      </c>
    </row>
    <row r="21">
      <c r="B21" s="120" t="s">
        <v>394</v>
      </c>
      <c r="C21" s="47"/>
      <c r="D21" s="57" t="s">
        <v>48</v>
      </c>
      <c r="E21" s="157">
        <v>9700.0</v>
      </c>
      <c r="F21" s="157">
        <v>14500.0</v>
      </c>
      <c r="G21" s="157">
        <v>22000.0</v>
      </c>
      <c r="H21" s="157">
        <v>28500.0</v>
      </c>
    </row>
    <row r="22">
      <c r="B22" s="120" t="s">
        <v>394</v>
      </c>
      <c r="C22" s="47"/>
      <c r="D22" s="57" t="s">
        <v>255</v>
      </c>
      <c r="E22" s="157">
        <v>16146.0</v>
      </c>
      <c r="F22" s="157">
        <v>24650.0</v>
      </c>
      <c r="G22" s="157">
        <v>35600.0</v>
      </c>
      <c r="H22" s="157">
        <v>44200.0</v>
      </c>
    </row>
    <row r="23">
      <c r="B23" s="120" t="s">
        <v>394</v>
      </c>
      <c r="C23" s="47"/>
      <c r="D23" s="57" t="s">
        <v>323</v>
      </c>
      <c r="E23" s="157">
        <v>21528.0</v>
      </c>
      <c r="F23" s="86">
        <v>28760.0</v>
      </c>
      <c r="G23" s="157">
        <v>35600.0</v>
      </c>
      <c r="H23" s="86">
        <v>44200.0</v>
      </c>
    </row>
    <row r="24">
      <c r="B24" s="120" t="s">
        <v>394</v>
      </c>
      <c r="C24" s="47"/>
      <c r="D24" s="57" t="s">
        <v>50</v>
      </c>
      <c r="E24" s="157">
        <v>8073.0</v>
      </c>
      <c r="F24" s="157">
        <v>10670.0</v>
      </c>
      <c r="G24" s="157">
        <v>20700.0</v>
      </c>
      <c r="H24" s="157">
        <v>26400.0</v>
      </c>
    </row>
    <row r="25">
      <c r="B25" s="120" t="s">
        <v>394</v>
      </c>
      <c r="C25" s="47"/>
      <c r="D25" s="57" t="s">
        <v>42</v>
      </c>
      <c r="E25" s="157">
        <v>13024.0</v>
      </c>
      <c r="F25" s="157">
        <v>34500.0</v>
      </c>
      <c r="G25" s="157">
        <v>40000.0</v>
      </c>
      <c r="H25" s="157">
        <v>58600.0</v>
      </c>
    </row>
    <row r="26">
      <c r="B26" s="120" t="s">
        <v>394</v>
      </c>
      <c r="C26" s="47"/>
      <c r="D26" s="57" t="s">
        <v>256</v>
      </c>
      <c r="E26" s="157">
        <v>16146.0</v>
      </c>
      <c r="F26" s="157">
        <v>20000.0</v>
      </c>
      <c r="G26" s="157">
        <v>26100.0</v>
      </c>
      <c r="H26" s="157">
        <v>35000.0</v>
      </c>
    </row>
    <row r="27">
      <c r="B27" s="120" t="s">
        <v>394</v>
      </c>
      <c r="C27" s="47"/>
      <c r="D27" s="57" t="s">
        <v>252</v>
      </c>
      <c r="E27" s="157">
        <v>48438.0</v>
      </c>
      <c r="F27" s="86">
        <v>153900.0</v>
      </c>
      <c r="G27" s="86">
        <v>163900.0</v>
      </c>
      <c r="H27" s="86">
        <v>203200.0</v>
      </c>
    </row>
    <row r="28">
      <c r="B28" s="120" t="s">
        <v>394</v>
      </c>
      <c r="C28" s="47"/>
      <c r="D28" s="57" t="s">
        <v>331</v>
      </c>
      <c r="E28" s="157">
        <v>13995.0</v>
      </c>
      <c r="F28" s="86">
        <v>28000.0</v>
      </c>
      <c r="G28" s="86">
        <v>32100.0</v>
      </c>
      <c r="H28" s="86">
        <v>40000.0</v>
      </c>
    </row>
    <row r="29">
      <c r="B29" s="120" t="s">
        <v>394</v>
      </c>
      <c r="C29" s="47"/>
      <c r="D29" s="57" t="s">
        <v>243</v>
      </c>
      <c r="E29" s="157">
        <v>5382.0</v>
      </c>
      <c r="F29" s="157">
        <v>35683.0</v>
      </c>
      <c r="G29" s="157">
        <v>49800.0</v>
      </c>
      <c r="H29" s="157">
        <v>55000.0</v>
      </c>
    </row>
    <row r="30">
      <c r="B30" s="120" t="s">
        <v>394</v>
      </c>
      <c r="C30" s="47"/>
      <c r="D30" s="57" t="s">
        <v>44</v>
      </c>
      <c r="E30" s="157">
        <v>11840.0</v>
      </c>
      <c r="F30" s="157">
        <v>41400.0</v>
      </c>
      <c r="G30" s="157">
        <v>46000.0</v>
      </c>
      <c r="H30" s="157">
        <v>53400.0</v>
      </c>
    </row>
    <row r="31">
      <c r="B31" s="120" t="s">
        <v>394</v>
      </c>
      <c r="C31" s="47"/>
      <c r="D31" s="57" t="s">
        <v>342</v>
      </c>
      <c r="E31" s="157">
        <v>16146.0</v>
      </c>
      <c r="F31" s="157">
        <v>20000.0</v>
      </c>
      <c r="G31" s="157">
        <v>26100.0</v>
      </c>
      <c r="H31" s="157">
        <v>35000.0</v>
      </c>
    </row>
    <row r="32">
      <c r="B32" s="120" t="s">
        <v>394</v>
      </c>
      <c r="C32" s="47"/>
      <c r="D32" s="57" t="s">
        <v>27</v>
      </c>
      <c r="E32" s="157">
        <v>11840.0</v>
      </c>
      <c r="F32" s="157">
        <v>39500.0</v>
      </c>
      <c r="G32" s="157">
        <v>47400.0</v>
      </c>
      <c r="H32" s="157">
        <v>54000.0</v>
      </c>
    </row>
    <row r="33">
      <c r="B33" s="120" t="s">
        <v>394</v>
      </c>
      <c r="C33" s="47"/>
      <c r="D33" s="57" t="s">
        <v>54</v>
      </c>
      <c r="E33" s="157">
        <v>9690.0</v>
      </c>
      <c r="F33" s="157">
        <v>17650.0</v>
      </c>
      <c r="G33" s="157">
        <v>28400.0</v>
      </c>
      <c r="H33" s="157">
        <v>35300.0</v>
      </c>
    </row>
    <row r="34">
      <c r="B34" s="120" t="s">
        <v>394</v>
      </c>
      <c r="C34" s="50"/>
      <c r="D34" s="57" t="s">
        <v>332</v>
      </c>
      <c r="E34" s="157">
        <v>9688.0</v>
      </c>
      <c r="F34" s="86">
        <v>18430.0</v>
      </c>
      <c r="G34" s="86">
        <v>28400.0</v>
      </c>
      <c r="H34" s="86">
        <v>36200.0</v>
      </c>
    </row>
    <row r="35">
      <c r="B35" s="133"/>
      <c r="C35" s="134"/>
      <c r="D35" s="91"/>
      <c r="E35" s="134"/>
      <c r="F35" s="134"/>
      <c r="G35" s="134"/>
      <c r="H35" s="134"/>
    </row>
    <row r="36">
      <c r="B36" s="120" t="s">
        <v>392</v>
      </c>
      <c r="C36" s="69" t="s">
        <v>395</v>
      </c>
      <c r="D36" s="57" t="s">
        <v>81</v>
      </c>
      <c r="E36" s="157">
        <v>5400.0</v>
      </c>
      <c r="F36" s="157">
        <v>23681.0</v>
      </c>
      <c r="G36" s="157">
        <v>37900.0</v>
      </c>
      <c r="H36" s="121">
        <v>35000.0</v>
      </c>
    </row>
    <row r="37">
      <c r="B37" s="120" t="s">
        <v>392</v>
      </c>
      <c r="C37" s="137"/>
      <c r="D37" s="57" t="s">
        <v>103</v>
      </c>
      <c r="E37" s="157">
        <v>14000.0</v>
      </c>
      <c r="F37" s="157">
        <v>29063.0</v>
      </c>
      <c r="G37" s="157">
        <v>29500.0</v>
      </c>
      <c r="H37" s="157">
        <v>45300.0</v>
      </c>
    </row>
    <row r="38">
      <c r="B38" s="120" t="s">
        <v>392</v>
      </c>
      <c r="C38" s="47"/>
      <c r="D38" s="57" t="s">
        <v>106</v>
      </c>
      <c r="E38" s="157">
        <v>14000.0</v>
      </c>
      <c r="F38" s="157">
        <v>19400.0</v>
      </c>
      <c r="G38" s="157">
        <v>36000.0</v>
      </c>
      <c r="H38" s="157">
        <v>40000.0</v>
      </c>
    </row>
    <row r="39">
      <c r="B39" s="120" t="s">
        <v>392</v>
      </c>
      <c r="C39" s="47"/>
      <c r="D39" s="57" t="s">
        <v>65</v>
      </c>
      <c r="E39" s="157">
        <v>11303.0</v>
      </c>
      <c r="F39" s="86">
        <v>40900.0</v>
      </c>
      <c r="G39" s="86">
        <v>45000.0</v>
      </c>
      <c r="H39" s="86">
        <v>50000.0</v>
      </c>
    </row>
    <row r="40">
      <c r="B40" s="120" t="s">
        <v>392</v>
      </c>
      <c r="C40" s="47"/>
      <c r="D40" s="57" t="s">
        <v>102</v>
      </c>
      <c r="E40" s="157">
        <v>8600.0</v>
      </c>
      <c r="F40" s="86">
        <v>21500.0</v>
      </c>
      <c r="G40" s="86">
        <v>22700.0</v>
      </c>
      <c r="H40" s="86">
        <v>28100.0</v>
      </c>
    </row>
    <row r="41">
      <c r="B41" s="120" t="s">
        <v>392</v>
      </c>
      <c r="C41" s="47"/>
      <c r="D41" s="57" t="s">
        <v>78</v>
      </c>
      <c r="E41" s="157">
        <v>10656.0</v>
      </c>
      <c r="F41" s="157">
        <v>23681.0</v>
      </c>
      <c r="G41" s="157">
        <v>23700.0</v>
      </c>
      <c r="H41" s="157">
        <v>26000.0</v>
      </c>
    </row>
    <row r="42">
      <c r="B42" s="120" t="s">
        <v>392</v>
      </c>
      <c r="C42" s="47"/>
      <c r="D42" s="57" t="s">
        <v>86</v>
      </c>
      <c r="E42" s="157">
        <v>19375.0</v>
      </c>
      <c r="F42" s="86">
        <v>26264.0</v>
      </c>
      <c r="G42" s="86">
        <v>31000.0</v>
      </c>
      <c r="H42" s="86">
        <v>40000.0</v>
      </c>
    </row>
    <row r="43">
      <c r="B43" s="120" t="s">
        <v>392</v>
      </c>
      <c r="C43" s="47"/>
      <c r="D43" s="57" t="s">
        <v>286</v>
      </c>
      <c r="E43" s="157">
        <v>21530.0</v>
      </c>
      <c r="F43" s="86">
        <v>45209.0</v>
      </c>
      <c r="G43" s="157">
        <v>74000.0</v>
      </c>
      <c r="H43" s="157">
        <v>74000.0</v>
      </c>
    </row>
    <row r="44">
      <c r="B44" s="120" t="s">
        <v>392</v>
      </c>
      <c r="C44" s="47"/>
      <c r="D44" s="57" t="s">
        <v>90</v>
      </c>
      <c r="E44" s="185">
        <v>9150.0</v>
      </c>
      <c r="F44" s="157">
        <v>16146.0</v>
      </c>
      <c r="G44" s="157">
        <v>23900.0</v>
      </c>
      <c r="H44" s="157">
        <v>30100.0</v>
      </c>
    </row>
    <row r="45">
      <c r="B45" s="120" t="s">
        <v>392</v>
      </c>
      <c r="C45" s="50"/>
      <c r="D45" s="57" t="s">
        <v>76</v>
      </c>
      <c r="E45" s="157">
        <v>8600.0</v>
      </c>
      <c r="F45" s="157">
        <v>23681.0</v>
      </c>
      <c r="G45" s="157">
        <v>42000.0</v>
      </c>
      <c r="H45" s="157">
        <v>55000.0</v>
      </c>
    </row>
    <row r="46">
      <c r="B46" s="133"/>
      <c r="C46" s="134"/>
      <c r="D46" s="91"/>
      <c r="E46" s="134"/>
      <c r="F46" s="134"/>
      <c r="G46" s="134"/>
      <c r="H46" s="134"/>
    </row>
    <row r="47">
      <c r="B47" s="120" t="s">
        <v>392</v>
      </c>
      <c r="C47" s="69" t="s">
        <v>396</v>
      </c>
      <c r="D47" s="57" t="s">
        <v>87</v>
      </c>
      <c r="E47" s="157">
        <v>10656.0</v>
      </c>
      <c r="F47" s="157">
        <v>14300.0</v>
      </c>
      <c r="G47" s="157">
        <v>17700.0</v>
      </c>
      <c r="H47" s="157">
        <v>25000.0</v>
      </c>
    </row>
    <row r="48">
      <c r="B48" s="120" t="s">
        <v>392</v>
      </c>
      <c r="C48" s="137"/>
      <c r="D48" s="57" t="s">
        <v>358</v>
      </c>
      <c r="E48" s="157">
        <v>8612.0</v>
      </c>
      <c r="F48" s="157">
        <v>10200.0</v>
      </c>
      <c r="G48" s="157">
        <v>13400.0</v>
      </c>
      <c r="H48" s="157">
        <v>20000.0</v>
      </c>
    </row>
    <row r="49">
      <c r="B49" s="120" t="s">
        <v>392</v>
      </c>
      <c r="C49" s="47"/>
      <c r="D49" s="57" t="s">
        <v>85</v>
      </c>
      <c r="E49" s="157">
        <v>8612.0</v>
      </c>
      <c r="F49" s="157">
        <v>16146.0</v>
      </c>
      <c r="G49" s="157">
        <v>23900.0</v>
      </c>
      <c r="H49" s="157">
        <v>30100.0</v>
      </c>
    </row>
    <row r="50">
      <c r="B50" s="120" t="s">
        <v>392</v>
      </c>
      <c r="C50" s="47"/>
      <c r="D50" s="57" t="s">
        <v>114</v>
      </c>
      <c r="E50" s="157">
        <v>9042.0</v>
      </c>
      <c r="F50" s="157">
        <v>12670.0</v>
      </c>
      <c r="G50" s="157">
        <v>19000.0</v>
      </c>
      <c r="H50" s="157">
        <v>41900.0</v>
      </c>
    </row>
    <row r="51">
      <c r="B51" s="120" t="s">
        <v>392</v>
      </c>
      <c r="C51" s="47"/>
      <c r="D51" s="57" t="s">
        <v>99</v>
      </c>
      <c r="E51" s="157">
        <v>13455.0</v>
      </c>
      <c r="F51" s="157">
        <v>29063.0</v>
      </c>
      <c r="G51" s="157">
        <v>29600.0</v>
      </c>
      <c r="H51" s="157">
        <v>45000.0</v>
      </c>
    </row>
    <row r="52">
      <c r="B52" s="120" t="s">
        <v>392</v>
      </c>
      <c r="C52" s="47"/>
      <c r="D52" s="57" t="s">
        <v>178</v>
      </c>
      <c r="E52" s="159">
        <v>13993.0</v>
      </c>
      <c r="F52" s="86">
        <v>53820.0</v>
      </c>
      <c r="G52" s="86">
        <v>59200.0</v>
      </c>
      <c r="H52" s="86">
        <v>65000.0</v>
      </c>
    </row>
    <row r="53">
      <c r="B53" s="120" t="s">
        <v>392</v>
      </c>
      <c r="C53" s="50"/>
      <c r="D53" s="57" t="s">
        <v>83</v>
      </c>
      <c r="E53" s="157">
        <v>13990.0</v>
      </c>
      <c r="F53" s="157">
        <v>34400.0</v>
      </c>
      <c r="G53" s="157">
        <v>37900.0</v>
      </c>
      <c r="H53" s="157">
        <v>49000.0</v>
      </c>
    </row>
    <row r="54">
      <c r="B54" s="133"/>
      <c r="C54" s="134"/>
      <c r="D54" s="91"/>
      <c r="E54" s="134"/>
      <c r="F54" s="134"/>
      <c r="G54" s="134"/>
      <c r="H54" s="134"/>
    </row>
    <row r="55">
      <c r="B55" s="120" t="s">
        <v>392</v>
      </c>
      <c r="C55" s="69" t="s">
        <v>397</v>
      </c>
      <c r="D55" s="60" t="s">
        <v>262</v>
      </c>
      <c r="E55" s="159">
        <v>43056.0</v>
      </c>
      <c r="F55" s="157">
        <v>54358.0</v>
      </c>
      <c r="G55" s="157">
        <v>82800.0</v>
      </c>
      <c r="H55" s="157">
        <v>90420.0</v>
      </c>
    </row>
    <row r="56">
      <c r="B56" s="120" t="s">
        <v>392</v>
      </c>
      <c r="C56" s="137"/>
      <c r="D56" s="60" t="s">
        <v>172</v>
      </c>
      <c r="E56" s="157">
        <v>12917.0</v>
      </c>
      <c r="F56" s="86">
        <v>42985.0</v>
      </c>
      <c r="G56" s="157">
        <v>47400.0</v>
      </c>
      <c r="H56" s="157">
        <v>49000.0</v>
      </c>
    </row>
    <row r="57">
      <c r="B57" s="120" t="s">
        <v>392</v>
      </c>
      <c r="C57" s="47"/>
      <c r="D57" s="20" t="s">
        <v>143</v>
      </c>
      <c r="E57" s="157">
        <v>53820.0</v>
      </c>
      <c r="F57" s="157">
        <v>85600.0</v>
      </c>
      <c r="G57" s="159">
        <v>215280.0</v>
      </c>
      <c r="H57" s="157">
        <v>270000.0</v>
      </c>
    </row>
    <row r="58">
      <c r="B58" s="120" t="s">
        <v>392</v>
      </c>
      <c r="C58" s="47"/>
      <c r="D58" s="60" t="s">
        <v>193</v>
      </c>
      <c r="E58" s="157">
        <v>43056.0</v>
      </c>
      <c r="F58" s="157">
        <v>55470.0</v>
      </c>
      <c r="G58" s="157">
        <v>62500.0</v>
      </c>
      <c r="H58" s="157">
        <v>64400.0</v>
      </c>
    </row>
    <row r="59">
      <c r="B59" s="120" t="s">
        <v>392</v>
      </c>
      <c r="C59" s="47"/>
      <c r="D59" s="60" t="s">
        <v>167</v>
      </c>
      <c r="E59" s="157">
        <v>42985.0</v>
      </c>
      <c r="F59" s="157">
        <v>92656.0</v>
      </c>
      <c r="G59" s="86">
        <v>98000.0</v>
      </c>
      <c r="H59" s="157">
        <v>120000.0</v>
      </c>
    </row>
    <row r="60">
      <c r="B60" s="120" t="s">
        <v>398</v>
      </c>
      <c r="C60" s="47"/>
      <c r="D60" s="60" t="s">
        <v>315</v>
      </c>
      <c r="E60" s="157">
        <v>37675.0</v>
      </c>
      <c r="F60" s="86">
        <v>40000.0</v>
      </c>
      <c r="G60" s="86">
        <v>45000.0</v>
      </c>
      <c r="H60" s="86">
        <v>51000.0</v>
      </c>
    </row>
    <row r="61">
      <c r="B61" s="120" t="s">
        <v>392</v>
      </c>
      <c r="C61" s="47"/>
      <c r="D61" s="60" t="s">
        <v>191</v>
      </c>
      <c r="E61" s="157">
        <v>12916.0</v>
      </c>
      <c r="F61" s="157">
        <v>24350.0</v>
      </c>
      <c r="G61" s="157">
        <v>32000.0</v>
      </c>
      <c r="H61" s="157">
        <v>40300.0</v>
      </c>
    </row>
    <row r="62">
      <c r="B62" s="120" t="s">
        <v>398</v>
      </c>
      <c r="C62" s="47"/>
      <c r="D62" s="60" t="s">
        <v>273</v>
      </c>
      <c r="E62" s="157">
        <v>53820.0</v>
      </c>
      <c r="F62" s="86">
        <v>99000.0</v>
      </c>
      <c r="G62" s="86">
        <v>108700.0</v>
      </c>
      <c r="H62" s="86">
        <v>125000.0</v>
      </c>
    </row>
    <row r="63">
      <c r="B63" s="120" t="s">
        <v>392</v>
      </c>
      <c r="C63" s="47"/>
      <c r="D63" s="20" t="s">
        <v>148</v>
      </c>
      <c r="E63" s="157">
        <v>32290.0</v>
      </c>
      <c r="F63" s="86">
        <v>57049.0</v>
      </c>
      <c r="G63" s="157">
        <v>73700.0</v>
      </c>
      <c r="H63" s="157">
        <v>100000.0</v>
      </c>
    </row>
    <row r="64">
      <c r="B64" s="120" t="s">
        <v>392</v>
      </c>
      <c r="C64" s="47"/>
      <c r="D64" s="20" t="s">
        <v>264</v>
      </c>
      <c r="E64" s="157">
        <v>19375.0</v>
      </c>
      <c r="F64" s="86">
        <v>39827.0</v>
      </c>
      <c r="G64" s="86">
        <v>43810.0</v>
      </c>
      <c r="H64" s="86">
        <v>52200.0</v>
      </c>
    </row>
    <row r="65">
      <c r="B65" s="120" t="s">
        <v>392</v>
      </c>
      <c r="C65" s="47"/>
      <c r="D65" s="60" t="s">
        <v>279</v>
      </c>
      <c r="E65" s="157">
        <v>26910.0</v>
      </c>
      <c r="F65" s="157">
        <v>75348.0</v>
      </c>
      <c r="G65" s="157">
        <v>77000.0</v>
      </c>
      <c r="H65" s="157">
        <v>89650.0</v>
      </c>
    </row>
    <row r="66">
      <c r="B66" s="120" t="s">
        <v>392</v>
      </c>
      <c r="C66" s="47"/>
      <c r="D66" s="60" t="s">
        <v>165</v>
      </c>
      <c r="E66" s="157">
        <v>13990.0</v>
      </c>
      <c r="F66" s="157">
        <v>26910.0</v>
      </c>
      <c r="G66" s="157">
        <v>30800.0</v>
      </c>
      <c r="H66" s="157">
        <v>45600.0</v>
      </c>
    </row>
    <row r="67">
      <c r="B67" s="120" t="s">
        <v>392</v>
      </c>
      <c r="C67" s="47"/>
      <c r="D67" s="60" t="s">
        <v>274</v>
      </c>
      <c r="E67" s="157">
        <v>42985.0</v>
      </c>
      <c r="F67" s="157">
        <v>92656.0</v>
      </c>
      <c r="G67" s="86">
        <v>98000.0</v>
      </c>
      <c r="H67" s="86">
        <v>120000.0</v>
      </c>
    </row>
    <row r="68">
      <c r="B68" s="120" t="s">
        <v>392</v>
      </c>
      <c r="C68" s="47"/>
      <c r="D68" s="60" t="s">
        <v>280</v>
      </c>
      <c r="E68" s="157">
        <v>34445.0</v>
      </c>
      <c r="F68" s="157">
        <v>64584.0</v>
      </c>
      <c r="G68" s="157">
        <v>77000.0</v>
      </c>
      <c r="H68" s="157">
        <v>93560.0</v>
      </c>
    </row>
    <row r="69">
      <c r="B69" s="120" t="s">
        <v>392</v>
      </c>
      <c r="C69" s="47"/>
      <c r="D69" s="60" t="s">
        <v>159</v>
      </c>
      <c r="E69" s="157">
        <v>19375.0</v>
      </c>
      <c r="F69" s="157">
        <v>92656.0</v>
      </c>
      <c r="G69" s="157">
        <v>134550.0</v>
      </c>
      <c r="H69" s="157">
        <v>145600.0</v>
      </c>
    </row>
    <row r="70">
      <c r="B70" s="120" t="s">
        <v>392</v>
      </c>
      <c r="C70" s="47"/>
      <c r="D70" s="20" t="s">
        <v>155</v>
      </c>
      <c r="E70" s="157">
        <v>53820.0</v>
      </c>
      <c r="F70" s="157">
        <v>75348.0</v>
      </c>
      <c r="G70" s="157">
        <v>82900.0</v>
      </c>
      <c r="H70" s="157">
        <v>104000.0</v>
      </c>
    </row>
    <row r="71">
      <c r="B71" s="120" t="s">
        <v>392</v>
      </c>
      <c r="C71" s="47"/>
      <c r="D71" s="60" t="s">
        <v>152</v>
      </c>
      <c r="E71" s="157">
        <v>24757.0</v>
      </c>
      <c r="F71" s="86">
        <v>48438.0</v>
      </c>
      <c r="G71" s="86">
        <v>53300.0</v>
      </c>
      <c r="H71" s="86">
        <v>56000.0</v>
      </c>
    </row>
    <row r="72">
      <c r="B72" s="120" t="s">
        <v>392</v>
      </c>
      <c r="C72" s="47"/>
      <c r="D72" s="60" t="s">
        <v>196</v>
      </c>
      <c r="E72" s="157">
        <v>12916.0</v>
      </c>
      <c r="F72" s="157">
        <v>23570.0</v>
      </c>
      <c r="G72" s="157">
        <v>35600.0</v>
      </c>
      <c r="H72" s="157">
        <v>44500.0</v>
      </c>
    </row>
    <row r="73">
      <c r="B73" s="120" t="s">
        <v>392</v>
      </c>
      <c r="C73" s="47"/>
      <c r="D73" s="60" t="s">
        <v>270</v>
      </c>
      <c r="E73" s="157">
        <v>31215.0</v>
      </c>
      <c r="F73" s="157">
        <v>77960.0</v>
      </c>
      <c r="G73" s="157">
        <v>107700.0</v>
      </c>
      <c r="H73" s="157">
        <v>155040.0</v>
      </c>
    </row>
    <row r="74">
      <c r="B74" s="120" t="s">
        <v>392</v>
      </c>
      <c r="C74" s="47"/>
      <c r="D74" s="60" t="s">
        <v>260</v>
      </c>
      <c r="E74" s="157">
        <v>43056.0</v>
      </c>
      <c r="F74" s="157">
        <v>54358.0</v>
      </c>
      <c r="G74" s="157">
        <v>82800.0</v>
      </c>
      <c r="H74" s="157">
        <v>90420.0</v>
      </c>
    </row>
    <row r="75">
      <c r="B75" s="120" t="s">
        <v>392</v>
      </c>
      <c r="C75" s="47"/>
      <c r="D75" s="20" t="s">
        <v>297</v>
      </c>
      <c r="E75" s="157">
        <v>12917.0</v>
      </c>
      <c r="F75" s="86">
        <v>42985.0</v>
      </c>
      <c r="G75" s="157">
        <v>47400.0</v>
      </c>
      <c r="H75" s="157">
        <v>55230.0</v>
      </c>
    </row>
    <row r="76">
      <c r="B76" s="120" t="s">
        <v>392</v>
      </c>
      <c r="C76" s="47"/>
      <c r="D76" s="60" t="s">
        <v>277</v>
      </c>
      <c r="E76" s="157">
        <v>43056.0</v>
      </c>
      <c r="F76" s="157">
        <v>67950.0</v>
      </c>
      <c r="G76" s="157">
        <v>86500.0</v>
      </c>
      <c r="H76" s="157">
        <v>92000.0</v>
      </c>
    </row>
    <row r="77">
      <c r="B77" s="120" t="s">
        <v>392</v>
      </c>
      <c r="C77" s="47"/>
      <c r="D77" s="20" t="s">
        <v>92</v>
      </c>
      <c r="E77" s="157">
        <v>53820.0</v>
      </c>
      <c r="F77" s="86">
        <v>129975.0</v>
      </c>
      <c r="G77" s="86">
        <v>150700.0</v>
      </c>
      <c r="H77" s="86">
        <v>165800.0</v>
      </c>
    </row>
    <row r="78">
      <c r="B78" s="120" t="s">
        <v>398</v>
      </c>
      <c r="C78" s="47"/>
      <c r="D78" s="60" t="s">
        <v>317</v>
      </c>
      <c r="E78" s="157">
        <v>15500.0</v>
      </c>
      <c r="F78" s="157">
        <v>26910.0</v>
      </c>
      <c r="G78" s="157">
        <v>37400.0</v>
      </c>
      <c r="H78" s="157">
        <v>46000.0</v>
      </c>
    </row>
    <row r="79">
      <c r="B79" s="120" t="s">
        <v>392</v>
      </c>
      <c r="C79" s="47"/>
      <c r="D79" s="20" t="s">
        <v>229</v>
      </c>
      <c r="E79" s="157">
        <v>18299.0</v>
      </c>
      <c r="F79" s="86">
        <v>37674.0</v>
      </c>
      <c r="G79" s="86">
        <v>66400.0</v>
      </c>
      <c r="H79" s="86">
        <v>76500.0</v>
      </c>
    </row>
    <row r="80">
      <c r="B80" s="120" t="s">
        <v>392</v>
      </c>
      <c r="C80" s="47"/>
      <c r="D80" s="20" t="s">
        <v>147</v>
      </c>
      <c r="E80" s="157">
        <v>24757.0</v>
      </c>
      <c r="F80" s="86">
        <v>57049.0</v>
      </c>
      <c r="G80" s="86">
        <v>62800.0</v>
      </c>
      <c r="H80" s="86">
        <v>65000.0</v>
      </c>
    </row>
    <row r="81">
      <c r="B81" s="120" t="s">
        <v>392</v>
      </c>
      <c r="C81" s="47"/>
      <c r="D81" s="60" t="s">
        <v>316</v>
      </c>
      <c r="E81" s="157">
        <v>12917.0</v>
      </c>
      <c r="F81" s="157">
        <v>32292.0</v>
      </c>
      <c r="G81" s="157">
        <v>35500.0</v>
      </c>
      <c r="H81" s="157">
        <v>46200.0</v>
      </c>
    </row>
    <row r="82">
      <c r="B82" s="120" t="s">
        <v>392</v>
      </c>
      <c r="C82" s="47"/>
      <c r="D82" s="60" t="s">
        <v>194</v>
      </c>
      <c r="E82" s="157">
        <v>43056.0</v>
      </c>
      <c r="F82" s="157">
        <v>67950.0</v>
      </c>
      <c r="G82" s="157">
        <v>86500.0</v>
      </c>
      <c r="H82" s="157">
        <v>92000.0</v>
      </c>
    </row>
    <row r="83">
      <c r="B83" s="120" t="s">
        <v>398</v>
      </c>
      <c r="C83" s="47"/>
      <c r="D83" s="60" t="s">
        <v>197</v>
      </c>
      <c r="E83" s="157">
        <v>32292.0</v>
      </c>
      <c r="F83" s="157">
        <v>58960.0</v>
      </c>
      <c r="G83" s="157">
        <v>71000.0</v>
      </c>
      <c r="H83" s="157">
        <v>82000.0</v>
      </c>
    </row>
    <row r="84">
      <c r="B84" s="120" t="s">
        <v>392</v>
      </c>
      <c r="C84" s="47"/>
      <c r="D84" s="60" t="s">
        <v>186</v>
      </c>
      <c r="E84" s="157">
        <v>51667.0</v>
      </c>
      <c r="F84" s="157">
        <v>67890.0</v>
      </c>
      <c r="G84" s="157">
        <v>81700.0</v>
      </c>
      <c r="H84" s="157">
        <v>97400.0</v>
      </c>
    </row>
    <row r="85">
      <c r="B85" s="120" t="s">
        <v>392</v>
      </c>
      <c r="C85" s="47"/>
      <c r="D85" s="60" t="s">
        <v>190</v>
      </c>
      <c r="E85" s="157">
        <v>21528.0</v>
      </c>
      <c r="F85" s="157">
        <v>69966.0</v>
      </c>
      <c r="G85" s="157">
        <v>77000.0</v>
      </c>
      <c r="H85" s="157">
        <v>85000.0</v>
      </c>
    </row>
    <row r="86">
      <c r="B86" s="120" t="s">
        <v>392</v>
      </c>
      <c r="C86" s="47"/>
      <c r="D86" s="20" t="s">
        <v>284</v>
      </c>
      <c r="E86" s="157">
        <v>32292.0</v>
      </c>
      <c r="F86" s="86">
        <v>59202.0</v>
      </c>
      <c r="G86" s="86">
        <v>65200.0</v>
      </c>
      <c r="H86" s="86">
        <v>82500.0</v>
      </c>
    </row>
    <row r="87">
      <c r="B87" s="120" t="s">
        <v>392</v>
      </c>
      <c r="C87" s="47"/>
      <c r="D87" s="60" t="s">
        <v>330</v>
      </c>
      <c r="E87" s="157">
        <v>13990.0</v>
      </c>
      <c r="F87" s="157">
        <v>26910.0</v>
      </c>
      <c r="G87" s="157">
        <v>29700.0</v>
      </c>
      <c r="H87" s="157">
        <v>39760.0</v>
      </c>
    </row>
    <row r="88">
      <c r="B88" s="120" t="s">
        <v>392</v>
      </c>
      <c r="C88" s="47"/>
      <c r="D88" s="20" t="s">
        <v>233</v>
      </c>
      <c r="E88" s="157">
        <v>16146.0</v>
      </c>
      <c r="F88" s="157">
        <v>11840.0</v>
      </c>
      <c r="G88" s="157">
        <v>21350.0</v>
      </c>
      <c r="H88" s="157">
        <v>30000.0</v>
      </c>
    </row>
    <row r="89">
      <c r="B89" s="120" t="s">
        <v>392</v>
      </c>
      <c r="C89" s="47"/>
      <c r="D89" s="20" t="s">
        <v>271</v>
      </c>
      <c r="E89" s="157">
        <v>46285.0</v>
      </c>
      <c r="F89" s="86">
        <v>91494.0</v>
      </c>
      <c r="G89" s="86">
        <v>106600.0</v>
      </c>
      <c r="H89" s="86">
        <v>161500.0</v>
      </c>
    </row>
    <row r="90">
      <c r="B90" s="120" t="s">
        <v>392</v>
      </c>
      <c r="C90" s="47"/>
      <c r="D90" s="60" t="s">
        <v>16</v>
      </c>
      <c r="E90" s="157">
        <v>53820.0</v>
      </c>
      <c r="F90" s="86">
        <v>102258.0</v>
      </c>
      <c r="G90" s="86">
        <v>115200.0</v>
      </c>
      <c r="H90" s="86">
        <v>132000.0</v>
      </c>
    </row>
    <row r="91">
      <c r="B91" s="120" t="s">
        <v>398</v>
      </c>
      <c r="C91" s="47"/>
      <c r="D91" s="60" t="s">
        <v>221</v>
      </c>
      <c r="E91" s="157">
        <v>43050.0</v>
      </c>
      <c r="F91" s="157">
        <v>53820.0</v>
      </c>
      <c r="G91" s="157">
        <v>56500.0</v>
      </c>
      <c r="H91" s="157">
        <v>67800.0</v>
      </c>
    </row>
    <row r="92">
      <c r="B92" s="120" t="s">
        <v>392</v>
      </c>
      <c r="C92" s="47"/>
      <c r="D92" s="20" t="s">
        <v>261</v>
      </c>
      <c r="E92" s="159">
        <v>32292.0</v>
      </c>
      <c r="F92" s="159">
        <v>32292.0</v>
      </c>
      <c r="G92" s="157">
        <v>39100.0</v>
      </c>
      <c r="H92" s="157">
        <v>46500.0</v>
      </c>
    </row>
    <row r="93">
      <c r="B93" s="120" t="s">
        <v>392</v>
      </c>
      <c r="C93" s="47"/>
      <c r="D93" s="20" t="s">
        <v>295</v>
      </c>
      <c r="E93" s="157">
        <v>24757.0</v>
      </c>
      <c r="F93" s="86">
        <v>57049.0</v>
      </c>
      <c r="G93" s="157">
        <v>59300.0</v>
      </c>
      <c r="H93" s="157">
        <v>62000.0</v>
      </c>
    </row>
    <row r="94">
      <c r="B94" s="120" t="s">
        <v>392</v>
      </c>
      <c r="C94" s="47"/>
      <c r="D94" s="20" t="s">
        <v>149</v>
      </c>
      <c r="E94" s="157">
        <v>8073.0</v>
      </c>
      <c r="F94" s="157">
        <v>17222.0</v>
      </c>
      <c r="G94" s="157">
        <v>29600.0</v>
      </c>
      <c r="H94" s="157">
        <v>50180.0</v>
      </c>
    </row>
    <row r="95">
      <c r="B95" s="120" t="s">
        <v>392</v>
      </c>
      <c r="C95" s="47"/>
      <c r="D95" s="20" t="s">
        <v>170</v>
      </c>
      <c r="E95" s="157">
        <v>10764.0</v>
      </c>
      <c r="F95" s="157">
        <v>21528.0</v>
      </c>
      <c r="G95" s="157">
        <v>26000.0</v>
      </c>
      <c r="H95" s="157">
        <v>28900.0</v>
      </c>
    </row>
    <row r="96">
      <c r="B96" s="120" t="s">
        <v>392</v>
      </c>
      <c r="C96" s="47"/>
      <c r="D96" s="60" t="s">
        <v>189</v>
      </c>
      <c r="E96" s="157">
        <v>12916.0</v>
      </c>
      <c r="F96" s="157">
        <v>23640.0</v>
      </c>
      <c r="G96" s="157">
        <v>35600.0</v>
      </c>
      <c r="H96" s="157">
        <v>44800.0</v>
      </c>
    </row>
    <row r="97">
      <c r="B97" s="120" t="s">
        <v>392</v>
      </c>
      <c r="C97" s="47"/>
      <c r="D97" s="60" t="s">
        <v>275</v>
      </c>
      <c r="E97" s="157">
        <v>42985.0</v>
      </c>
      <c r="F97" s="157">
        <v>92656.0</v>
      </c>
      <c r="G97" s="86">
        <v>98000.0</v>
      </c>
      <c r="H97" s="157">
        <v>120000.0</v>
      </c>
    </row>
    <row r="98">
      <c r="B98" s="120" t="s">
        <v>392</v>
      </c>
      <c r="C98" s="47"/>
      <c r="D98" s="20" t="s">
        <v>236</v>
      </c>
      <c r="E98" s="157">
        <v>8073.0</v>
      </c>
      <c r="F98" s="157">
        <v>11840.0</v>
      </c>
      <c r="G98" s="157">
        <v>24800.0</v>
      </c>
      <c r="H98" s="121">
        <v>24800.0</v>
      </c>
    </row>
    <row r="99">
      <c r="B99" s="120" t="s">
        <v>392</v>
      </c>
      <c r="C99" s="47"/>
      <c r="D99" s="20" t="s">
        <v>137</v>
      </c>
      <c r="E99" s="157">
        <v>32292.0</v>
      </c>
      <c r="F99" s="157">
        <v>60580.0</v>
      </c>
      <c r="G99" s="157">
        <v>61400.0</v>
      </c>
      <c r="H99" s="157">
        <v>72400.0</v>
      </c>
    </row>
    <row r="100">
      <c r="B100" s="120" t="s">
        <v>392</v>
      </c>
      <c r="C100" s="47"/>
      <c r="D100" s="20" t="s">
        <v>97</v>
      </c>
      <c r="E100" s="157">
        <v>32292.0</v>
      </c>
      <c r="F100" s="86">
        <v>107640.0</v>
      </c>
      <c r="G100" s="86">
        <v>118400.0</v>
      </c>
      <c r="H100" s="86">
        <v>119000.0</v>
      </c>
    </row>
    <row r="101">
      <c r="B101" s="120" t="s">
        <v>392</v>
      </c>
      <c r="C101" s="47"/>
      <c r="D101" s="20" t="s">
        <v>322</v>
      </c>
      <c r="E101" s="159">
        <v>18299.0</v>
      </c>
      <c r="F101" s="86">
        <v>23700.0</v>
      </c>
      <c r="G101" s="157">
        <v>32600.0</v>
      </c>
      <c r="H101" s="157">
        <v>44600.0</v>
      </c>
    </row>
    <row r="102">
      <c r="B102" s="120" t="s">
        <v>392</v>
      </c>
      <c r="C102" s="47"/>
      <c r="D102" s="60" t="s">
        <v>174</v>
      </c>
      <c r="E102" s="157">
        <v>12917.0</v>
      </c>
      <c r="F102" s="86">
        <v>42985.0</v>
      </c>
      <c r="G102" s="157">
        <v>64700.0</v>
      </c>
      <c r="H102" s="157">
        <v>78200.0</v>
      </c>
    </row>
    <row r="103">
      <c r="B103" s="120" t="s">
        <v>392</v>
      </c>
      <c r="C103" s="47"/>
      <c r="D103" s="60" t="s">
        <v>282</v>
      </c>
      <c r="E103" s="157">
        <v>13993.0</v>
      </c>
      <c r="F103" s="86">
        <v>42985.0</v>
      </c>
      <c r="G103" s="157">
        <v>68700.0</v>
      </c>
      <c r="H103" s="157">
        <v>77250.0</v>
      </c>
    </row>
    <row r="104">
      <c r="B104" s="120" t="s">
        <v>392</v>
      </c>
      <c r="C104" s="47"/>
      <c r="D104" s="20" t="s">
        <v>142</v>
      </c>
      <c r="E104" s="157">
        <v>32292.0</v>
      </c>
      <c r="F104" s="157">
        <v>32292.0</v>
      </c>
      <c r="G104" s="157">
        <v>38900.0</v>
      </c>
      <c r="H104" s="157">
        <v>54350.0</v>
      </c>
    </row>
    <row r="105">
      <c r="B105" s="120" t="s">
        <v>392</v>
      </c>
      <c r="C105" s="47"/>
      <c r="D105" s="60" t="s">
        <v>177</v>
      </c>
      <c r="E105" s="159">
        <v>13993.0</v>
      </c>
      <c r="F105" s="157">
        <v>32922.0</v>
      </c>
      <c r="G105" s="157">
        <v>35600.0</v>
      </c>
      <c r="H105" s="157">
        <v>45000.0</v>
      </c>
    </row>
    <row r="106">
      <c r="B106" s="120" t="s">
        <v>398</v>
      </c>
      <c r="C106" s="47"/>
      <c r="D106" s="20" t="s">
        <v>238</v>
      </c>
      <c r="E106" s="157">
        <v>8073.0</v>
      </c>
      <c r="F106" s="157">
        <v>11800.0</v>
      </c>
      <c r="G106" s="157">
        <v>27200.0</v>
      </c>
      <c r="H106" s="157">
        <v>36750.0</v>
      </c>
    </row>
    <row r="107">
      <c r="B107" s="120" t="s">
        <v>392</v>
      </c>
      <c r="C107" s="47"/>
      <c r="D107" s="20" t="s">
        <v>139</v>
      </c>
      <c r="E107" s="157">
        <v>32292.0</v>
      </c>
      <c r="F107" s="86">
        <v>42985.0</v>
      </c>
      <c r="G107" s="157">
        <v>48500.0</v>
      </c>
      <c r="H107" s="157">
        <v>75000.0</v>
      </c>
    </row>
    <row r="108">
      <c r="B108" s="120" t="s">
        <v>392</v>
      </c>
      <c r="C108" s="47"/>
      <c r="D108" s="20" t="s">
        <v>135</v>
      </c>
      <c r="E108" s="157">
        <v>18299.0</v>
      </c>
      <c r="F108" s="86">
        <v>23700.0</v>
      </c>
      <c r="G108" s="157">
        <v>39300.0</v>
      </c>
      <c r="H108" s="157">
        <v>52500.0</v>
      </c>
    </row>
    <row r="109">
      <c r="B109" s="120" t="s">
        <v>392</v>
      </c>
      <c r="C109" s="47"/>
      <c r="D109" s="60" t="s">
        <v>259</v>
      </c>
      <c r="E109" s="157">
        <v>21530.0</v>
      </c>
      <c r="F109" s="157">
        <v>29840.0</v>
      </c>
      <c r="G109" s="157">
        <v>37700.0</v>
      </c>
      <c r="H109" s="157">
        <v>74800.0</v>
      </c>
    </row>
    <row r="110">
      <c r="B110" s="120" t="s">
        <v>392</v>
      </c>
      <c r="C110" s="47"/>
      <c r="D110" s="20" t="s">
        <v>157</v>
      </c>
      <c r="E110" s="157">
        <v>34445.0</v>
      </c>
      <c r="F110" s="157">
        <v>64584.0</v>
      </c>
      <c r="G110" s="157">
        <v>70700.0</v>
      </c>
      <c r="H110" s="157">
        <v>83590.0</v>
      </c>
    </row>
    <row r="111">
      <c r="B111" s="120" t="s">
        <v>392</v>
      </c>
      <c r="C111" s="47"/>
      <c r="D111" s="60" t="s">
        <v>162</v>
      </c>
      <c r="E111" s="157">
        <v>13990.0</v>
      </c>
      <c r="F111" s="157">
        <v>26910.0</v>
      </c>
      <c r="G111" s="157">
        <v>29700.0</v>
      </c>
      <c r="H111" s="157">
        <v>39760.0</v>
      </c>
    </row>
    <row r="112">
      <c r="B112" s="120" t="s">
        <v>398</v>
      </c>
      <c r="C112" s="47"/>
      <c r="D112" s="60" t="s">
        <v>219</v>
      </c>
      <c r="E112" s="157">
        <v>36000.0</v>
      </c>
      <c r="F112" s="157">
        <v>39750.0</v>
      </c>
      <c r="G112" s="157">
        <v>46800.0</v>
      </c>
      <c r="H112" s="157">
        <v>61600.0</v>
      </c>
    </row>
    <row r="113">
      <c r="B113" s="120" t="s">
        <v>392</v>
      </c>
      <c r="C113" s="47"/>
      <c r="D113" s="20" t="s">
        <v>153</v>
      </c>
      <c r="E113" s="157">
        <v>24757.0</v>
      </c>
      <c r="F113" s="157">
        <v>17222.0</v>
      </c>
      <c r="G113" s="157">
        <v>59300.0</v>
      </c>
      <c r="H113" s="157">
        <v>95790.0</v>
      </c>
    </row>
    <row r="114">
      <c r="B114" s="120" t="s">
        <v>392</v>
      </c>
      <c r="C114" s="47"/>
      <c r="D114" s="20" t="s">
        <v>234</v>
      </c>
      <c r="E114" s="157">
        <v>27990.0</v>
      </c>
      <c r="F114" s="157">
        <v>29000.0</v>
      </c>
      <c r="G114" s="157">
        <v>31000.0</v>
      </c>
      <c r="H114" s="157">
        <v>44500.0</v>
      </c>
    </row>
    <row r="115">
      <c r="B115" s="120" t="s">
        <v>392</v>
      </c>
      <c r="C115" s="47"/>
      <c r="D115" s="20" t="s">
        <v>55</v>
      </c>
      <c r="E115" s="157">
        <v>32292.0</v>
      </c>
      <c r="F115" s="86">
        <v>96876.0</v>
      </c>
      <c r="G115" s="86">
        <v>107700.0</v>
      </c>
      <c r="H115" s="86">
        <v>112000.0</v>
      </c>
    </row>
    <row r="116">
      <c r="B116" s="120" t="s">
        <v>392</v>
      </c>
      <c r="C116" s="47"/>
      <c r="D116" s="20" t="s">
        <v>144</v>
      </c>
      <c r="E116" s="157">
        <v>24757.0</v>
      </c>
      <c r="F116" s="86">
        <v>57049.0</v>
      </c>
      <c r="G116" s="157">
        <v>73500.0</v>
      </c>
      <c r="H116" s="157">
        <v>92340.0</v>
      </c>
    </row>
    <row r="117">
      <c r="B117" s="120" t="s">
        <v>392</v>
      </c>
      <c r="C117" s="47"/>
      <c r="D117" s="20" t="s">
        <v>313</v>
      </c>
      <c r="E117" s="157">
        <v>15070.0</v>
      </c>
      <c r="F117" s="157">
        <v>28940.0</v>
      </c>
      <c r="G117" s="157">
        <v>34400.0</v>
      </c>
      <c r="H117" s="157">
        <v>52250.0</v>
      </c>
    </row>
    <row r="118">
      <c r="B118" s="120" t="s">
        <v>392</v>
      </c>
      <c r="C118" s="47"/>
      <c r="D118" s="60" t="s">
        <v>164</v>
      </c>
      <c r="E118" s="157">
        <v>14000.0</v>
      </c>
      <c r="F118" s="157">
        <v>26910.0</v>
      </c>
      <c r="G118" s="157">
        <v>30800.0</v>
      </c>
      <c r="H118" s="157">
        <v>45600.0</v>
      </c>
    </row>
    <row r="119">
      <c r="B119" s="120" t="s">
        <v>392</v>
      </c>
      <c r="C119" s="47"/>
      <c r="D119" s="20" t="s">
        <v>365</v>
      </c>
      <c r="E119" s="157">
        <v>16146.0</v>
      </c>
      <c r="F119" s="157">
        <v>11840.0</v>
      </c>
      <c r="G119" s="157">
        <v>13000.0</v>
      </c>
      <c r="H119" s="157">
        <v>20600.0</v>
      </c>
    </row>
    <row r="120">
      <c r="B120" s="120" t="s">
        <v>392</v>
      </c>
      <c r="C120" s="47"/>
      <c r="D120" s="20" t="s">
        <v>335</v>
      </c>
      <c r="E120" s="157">
        <v>8073.0</v>
      </c>
      <c r="F120" s="157">
        <v>11840.0</v>
      </c>
      <c r="G120" s="157">
        <v>27800.0</v>
      </c>
      <c r="H120" s="157">
        <v>31600.0</v>
      </c>
    </row>
    <row r="121">
      <c r="B121" s="120" t="s">
        <v>392</v>
      </c>
      <c r="C121" s="47"/>
      <c r="D121" s="20" t="s">
        <v>288</v>
      </c>
      <c r="E121" s="157">
        <v>40000.0</v>
      </c>
      <c r="F121" s="157">
        <v>52400.0</v>
      </c>
      <c r="G121" s="157">
        <v>64600.0</v>
      </c>
      <c r="H121" s="157">
        <v>82700.0</v>
      </c>
    </row>
    <row r="122">
      <c r="B122" s="120" t="s">
        <v>392</v>
      </c>
      <c r="C122" s="47"/>
      <c r="D122" s="20" t="s">
        <v>138</v>
      </c>
      <c r="E122" s="157">
        <v>32292.0</v>
      </c>
      <c r="F122" s="157">
        <v>32292.0</v>
      </c>
      <c r="G122" s="157">
        <v>35600.0</v>
      </c>
      <c r="H122" s="157">
        <v>45750.0</v>
      </c>
    </row>
    <row r="123">
      <c r="B123" s="120" t="s">
        <v>392</v>
      </c>
      <c r="C123" s="47"/>
      <c r="D123" s="20" t="s">
        <v>311</v>
      </c>
      <c r="E123" s="157">
        <v>12917.0</v>
      </c>
      <c r="F123" s="157">
        <v>32292.0</v>
      </c>
      <c r="G123" s="157">
        <v>39300.0</v>
      </c>
      <c r="H123" s="157">
        <v>50000.0</v>
      </c>
    </row>
    <row r="124">
      <c r="B124" s="120" t="s">
        <v>392</v>
      </c>
      <c r="C124" s="47"/>
      <c r="D124" s="60" t="s">
        <v>258</v>
      </c>
      <c r="E124" s="157">
        <v>32292.0</v>
      </c>
      <c r="F124" s="159">
        <v>34292.0</v>
      </c>
      <c r="G124" s="157">
        <v>37700.0</v>
      </c>
      <c r="H124" s="157">
        <v>74800.0</v>
      </c>
    </row>
    <row r="125">
      <c r="B125" s="120" t="s">
        <v>392</v>
      </c>
      <c r="C125" s="47"/>
      <c r="D125" s="60" t="s">
        <v>257</v>
      </c>
      <c r="E125" s="157">
        <v>27000.0</v>
      </c>
      <c r="F125" s="86">
        <v>77501.0</v>
      </c>
      <c r="G125" s="86">
        <v>85500.0</v>
      </c>
      <c r="H125" s="86">
        <v>112000.0</v>
      </c>
    </row>
    <row r="126">
      <c r="B126" s="120" t="s">
        <v>392</v>
      </c>
      <c r="C126" s="47"/>
      <c r="D126" s="20" t="s">
        <v>38</v>
      </c>
      <c r="E126" s="157">
        <v>19375.0</v>
      </c>
      <c r="F126" s="86">
        <v>61400.0</v>
      </c>
      <c r="G126" s="86">
        <v>67600.0</v>
      </c>
      <c r="H126" s="86">
        <v>74300.0</v>
      </c>
    </row>
    <row r="127">
      <c r="B127" s="120" t="s">
        <v>392</v>
      </c>
      <c r="C127" s="47"/>
      <c r="D127" s="20" t="s">
        <v>150</v>
      </c>
      <c r="E127" s="157">
        <v>24757.0</v>
      </c>
      <c r="F127" s="86">
        <v>56834.0</v>
      </c>
      <c r="G127" s="86">
        <v>59300.0</v>
      </c>
      <c r="H127" s="86">
        <v>95790.0</v>
      </c>
    </row>
    <row r="128">
      <c r="B128" s="120" t="s">
        <v>392</v>
      </c>
      <c r="C128" s="47"/>
      <c r="D128" s="60" t="s">
        <v>187</v>
      </c>
      <c r="E128" s="157">
        <v>51667.0</v>
      </c>
      <c r="F128" s="157">
        <v>51980.0</v>
      </c>
      <c r="G128" s="157">
        <v>52100.0</v>
      </c>
      <c r="H128" s="157">
        <v>59500.0</v>
      </c>
    </row>
    <row r="129">
      <c r="B129" s="120" t="s">
        <v>398</v>
      </c>
      <c r="C129" s="47"/>
      <c r="D129" s="60" t="s">
        <v>200</v>
      </c>
      <c r="E129" s="157">
        <v>21528.0</v>
      </c>
      <c r="F129" s="86">
        <v>42000.0</v>
      </c>
      <c r="G129" s="86">
        <v>49700.0</v>
      </c>
      <c r="H129" s="86">
        <v>63000.0</v>
      </c>
    </row>
    <row r="130">
      <c r="B130" s="120" t="s">
        <v>392</v>
      </c>
      <c r="C130" s="47"/>
      <c r="D130" s="186" t="s">
        <v>290</v>
      </c>
      <c r="E130" s="187">
        <v>24757.0</v>
      </c>
      <c r="F130" s="187">
        <v>17222.0</v>
      </c>
      <c r="G130" s="187">
        <v>59300.0</v>
      </c>
      <c r="H130" s="188">
        <v>70400.0</v>
      </c>
    </row>
    <row r="131">
      <c r="B131" s="120" t="s">
        <v>392</v>
      </c>
      <c r="C131" s="47"/>
      <c r="D131" s="60" t="s">
        <v>324</v>
      </c>
      <c r="E131" s="157">
        <v>10764.0</v>
      </c>
      <c r="F131" s="157">
        <v>17222.0</v>
      </c>
      <c r="G131" s="157">
        <v>28400.0</v>
      </c>
      <c r="H131" s="157">
        <v>39300.0</v>
      </c>
    </row>
    <row r="132">
      <c r="B132" s="120" t="s">
        <v>392</v>
      </c>
      <c r="C132" s="47"/>
      <c r="D132" s="20" t="s">
        <v>293</v>
      </c>
      <c r="E132" s="157">
        <v>24757.0</v>
      </c>
      <c r="F132" s="86">
        <v>57049.0</v>
      </c>
      <c r="G132" s="157">
        <v>59300.0</v>
      </c>
      <c r="H132" s="157">
        <v>62000.0</v>
      </c>
    </row>
    <row r="133">
      <c r="B133" s="120" t="s">
        <v>392</v>
      </c>
      <c r="C133" s="47"/>
      <c r="D133" s="60" t="s">
        <v>272</v>
      </c>
      <c r="E133" s="157">
        <v>31215.0</v>
      </c>
      <c r="F133" s="157">
        <v>77960.0</v>
      </c>
      <c r="G133" s="157">
        <v>107700.0</v>
      </c>
      <c r="H133" s="157">
        <v>155040.0</v>
      </c>
    </row>
    <row r="134">
      <c r="B134" s="120" t="s">
        <v>392</v>
      </c>
      <c r="C134" s="47"/>
      <c r="D134" s="60" t="s">
        <v>184</v>
      </c>
      <c r="E134" s="157">
        <v>31215.0</v>
      </c>
      <c r="F134" s="157">
        <v>35750.0</v>
      </c>
      <c r="G134" s="157">
        <v>41400.0</v>
      </c>
      <c r="H134" s="157">
        <v>50000.0</v>
      </c>
    </row>
    <row r="135">
      <c r="B135" s="120" t="s">
        <v>392</v>
      </c>
      <c r="C135" s="47"/>
      <c r="D135" s="20" t="s">
        <v>43</v>
      </c>
      <c r="E135" s="157">
        <v>69966.0</v>
      </c>
      <c r="F135" s="86">
        <v>94700.0</v>
      </c>
      <c r="G135" s="86">
        <v>106100.0</v>
      </c>
      <c r="H135" s="86">
        <v>127300.0</v>
      </c>
    </row>
    <row r="136">
      <c r="B136" s="120" t="s">
        <v>392</v>
      </c>
      <c r="C136" s="47"/>
      <c r="D136" s="60" t="s">
        <v>263</v>
      </c>
      <c r="E136" s="157">
        <v>37674.0</v>
      </c>
      <c r="F136" s="157">
        <v>37674.0</v>
      </c>
      <c r="G136" s="157">
        <v>49000.0</v>
      </c>
      <c r="H136" s="157">
        <v>58760.0</v>
      </c>
    </row>
    <row r="137">
      <c r="B137" s="120" t="s">
        <v>392</v>
      </c>
      <c r="C137" s="47"/>
      <c r="D137" s="20" t="s">
        <v>265</v>
      </c>
      <c r="E137" s="157">
        <v>43056.0</v>
      </c>
      <c r="F137" s="157">
        <v>75500.0</v>
      </c>
      <c r="G137" s="157">
        <v>86150.0</v>
      </c>
      <c r="H137" s="157">
        <v>142200.0</v>
      </c>
    </row>
    <row r="138">
      <c r="B138" s="120" t="s">
        <v>392</v>
      </c>
      <c r="C138" s="47"/>
      <c r="D138" s="60" t="s">
        <v>188</v>
      </c>
      <c r="E138" s="86">
        <v>21528.0</v>
      </c>
      <c r="F138" s="86">
        <v>78577.0</v>
      </c>
      <c r="G138" s="86">
        <v>90400.0</v>
      </c>
      <c r="H138" s="86">
        <v>93120.0</v>
      </c>
    </row>
    <row r="139">
      <c r="B139" s="120" t="s">
        <v>392</v>
      </c>
      <c r="C139" s="47"/>
      <c r="D139" s="60" t="s">
        <v>403</v>
      </c>
      <c r="E139" s="157">
        <v>51667.0</v>
      </c>
      <c r="F139" s="157">
        <v>72340.0</v>
      </c>
      <c r="G139" s="157">
        <v>89300.0</v>
      </c>
      <c r="H139" s="157">
        <v>120000.0</v>
      </c>
    </row>
    <row r="140">
      <c r="B140" s="120" t="s">
        <v>392</v>
      </c>
      <c r="C140" s="47"/>
      <c r="D140" s="60" t="s">
        <v>354</v>
      </c>
      <c r="E140" s="157">
        <v>16146.0</v>
      </c>
      <c r="F140" s="86">
        <v>19400.0</v>
      </c>
      <c r="G140" s="157">
        <v>21400.0</v>
      </c>
      <c r="H140" s="157">
        <v>30540.0</v>
      </c>
    </row>
    <row r="141">
      <c r="B141" s="120" t="s">
        <v>398</v>
      </c>
      <c r="C141" s="47"/>
      <c r="D141" s="60" t="s">
        <v>329</v>
      </c>
      <c r="E141" s="157">
        <v>16146.0</v>
      </c>
      <c r="F141" s="157">
        <v>26910.0</v>
      </c>
      <c r="G141" s="157">
        <v>29600.0</v>
      </c>
      <c r="H141" s="157">
        <v>41600.0</v>
      </c>
    </row>
    <row r="142">
      <c r="B142" s="120" t="s">
        <v>392</v>
      </c>
      <c r="C142" s="50"/>
      <c r="D142" s="20" t="s">
        <v>278</v>
      </c>
      <c r="E142" s="157">
        <v>18300.0</v>
      </c>
      <c r="F142" s="86">
        <v>69966.0</v>
      </c>
      <c r="G142" s="86">
        <v>77000.0</v>
      </c>
      <c r="H142" s="86">
        <v>90000.0</v>
      </c>
    </row>
    <row r="143">
      <c r="B143" s="133"/>
      <c r="C143" s="134"/>
      <c r="D143" s="91"/>
      <c r="E143" s="134"/>
      <c r="F143" s="134"/>
      <c r="G143" s="134"/>
      <c r="H143" s="134"/>
    </row>
    <row r="144">
      <c r="B144" s="120" t="s">
        <v>392</v>
      </c>
      <c r="C144" s="69" t="s">
        <v>399</v>
      </c>
      <c r="D144" s="20" t="s">
        <v>363</v>
      </c>
      <c r="E144" s="157">
        <v>16146.0</v>
      </c>
      <c r="F144" s="157">
        <v>11840.0</v>
      </c>
      <c r="G144" s="157">
        <v>13000.0</v>
      </c>
      <c r="H144" s="157">
        <v>20600.0</v>
      </c>
    </row>
    <row r="145">
      <c r="B145" s="120" t="s">
        <v>392</v>
      </c>
      <c r="C145" s="137"/>
      <c r="D145" s="66" t="s">
        <v>246</v>
      </c>
      <c r="E145" s="157">
        <v>21528.0</v>
      </c>
      <c r="F145" s="157">
        <v>36490.0</v>
      </c>
      <c r="G145" s="157">
        <v>37700.0</v>
      </c>
      <c r="H145" s="157">
        <v>60000.0</v>
      </c>
    </row>
    <row r="146">
      <c r="B146" s="120" t="s">
        <v>392</v>
      </c>
      <c r="C146" s="47"/>
      <c r="D146" s="66" t="s">
        <v>98</v>
      </c>
      <c r="E146" s="157">
        <v>21528.0</v>
      </c>
      <c r="F146" s="86">
        <v>43056.0</v>
      </c>
      <c r="G146" s="86">
        <v>47400.0</v>
      </c>
      <c r="H146" s="86">
        <v>50000.0</v>
      </c>
    </row>
    <row r="147">
      <c r="B147" s="120" t="s">
        <v>392</v>
      </c>
      <c r="C147" s="47"/>
      <c r="D147" s="20" t="s">
        <v>249</v>
      </c>
      <c r="E147" s="86">
        <v>13993.0</v>
      </c>
      <c r="F147" s="157">
        <v>24650.0</v>
      </c>
      <c r="G147" s="157">
        <v>29600.0</v>
      </c>
      <c r="H147" s="157">
        <v>37300.0</v>
      </c>
    </row>
    <row r="148">
      <c r="B148" s="120" t="s">
        <v>392</v>
      </c>
      <c r="C148" s="47"/>
      <c r="D148" s="20" t="s">
        <v>287</v>
      </c>
      <c r="E148" s="157">
        <v>18299.0</v>
      </c>
      <c r="F148" s="157">
        <v>35683.0</v>
      </c>
      <c r="G148" s="157">
        <v>61800.0</v>
      </c>
      <c r="H148" s="157">
        <v>72700.0</v>
      </c>
    </row>
    <row r="149">
      <c r="B149" s="120" t="s">
        <v>392</v>
      </c>
      <c r="C149" s="50"/>
      <c r="D149" s="20" t="s">
        <v>247</v>
      </c>
      <c r="E149" s="157">
        <v>21528.0</v>
      </c>
      <c r="F149" s="157">
        <v>36490.0</v>
      </c>
      <c r="G149" s="157">
        <v>35600.0</v>
      </c>
      <c r="H149" s="157">
        <v>41000.0</v>
      </c>
    </row>
    <row r="150">
      <c r="B150" s="133"/>
      <c r="C150" s="134"/>
      <c r="D150" s="91"/>
      <c r="E150" s="134"/>
      <c r="F150" s="134"/>
      <c r="G150" s="134"/>
      <c r="H150" s="134"/>
    </row>
    <row r="151">
      <c r="B151" s="120" t="s">
        <v>392</v>
      </c>
      <c r="C151" s="69" t="s">
        <v>400</v>
      </c>
      <c r="D151" s="57" t="s">
        <v>291</v>
      </c>
      <c r="E151" s="157">
        <v>18300.0</v>
      </c>
      <c r="F151" s="86">
        <v>45209.0</v>
      </c>
      <c r="G151" s="86">
        <v>50200.0</v>
      </c>
      <c r="H151" s="86">
        <v>70000.0</v>
      </c>
    </row>
    <row r="152">
      <c r="B152" s="120" t="s">
        <v>392</v>
      </c>
      <c r="C152" s="137"/>
      <c r="D152" s="57" t="s">
        <v>237</v>
      </c>
      <c r="E152" s="157">
        <v>8073.0</v>
      </c>
      <c r="F152" s="157">
        <v>11840.0</v>
      </c>
      <c r="G152" s="157">
        <v>32292.0</v>
      </c>
      <c r="H152" s="157">
        <v>40700.0</v>
      </c>
    </row>
    <row r="153">
      <c r="B153" s="120" t="s">
        <v>392</v>
      </c>
      <c r="C153" s="47"/>
      <c r="D153" s="57" t="s">
        <v>228</v>
      </c>
      <c r="E153" s="157">
        <v>21530.0</v>
      </c>
      <c r="F153" s="86">
        <v>45209.0</v>
      </c>
      <c r="G153" s="157">
        <v>74000.0</v>
      </c>
      <c r="H153" s="157">
        <v>81400.0</v>
      </c>
    </row>
    <row r="154">
      <c r="B154" s="120" t="s">
        <v>392</v>
      </c>
      <c r="C154" s="50"/>
      <c r="D154" s="57" t="s">
        <v>231</v>
      </c>
      <c r="E154" s="157">
        <v>21528.0</v>
      </c>
      <c r="F154" s="86">
        <v>45209.0</v>
      </c>
      <c r="G154" s="157">
        <v>47400.0</v>
      </c>
      <c r="H154" s="157">
        <v>49400.0</v>
      </c>
    </row>
    <row r="155">
      <c r="B155" s="133"/>
      <c r="C155" s="134"/>
      <c r="D155" s="91"/>
      <c r="E155" s="134"/>
      <c r="F155" s="134"/>
      <c r="G155" s="134"/>
      <c r="H155" s="134"/>
    </row>
    <row r="156">
      <c r="B156" s="120" t="s">
        <v>398</v>
      </c>
      <c r="C156" s="69" t="s">
        <v>23</v>
      </c>
      <c r="D156" s="60" t="s">
        <v>215</v>
      </c>
      <c r="E156" s="157">
        <v>10656.0</v>
      </c>
      <c r="F156" s="157">
        <v>18550.0</v>
      </c>
      <c r="G156" s="157">
        <v>23700.0</v>
      </c>
      <c r="H156" s="157">
        <v>31560.0</v>
      </c>
    </row>
    <row r="157">
      <c r="B157" s="120" t="s">
        <v>398</v>
      </c>
      <c r="C157" s="137"/>
      <c r="D157" s="20" t="s">
        <v>119</v>
      </c>
      <c r="E157" s="157">
        <v>15070.0</v>
      </c>
      <c r="F157" s="157">
        <v>22970.0</v>
      </c>
      <c r="G157" s="157">
        <v>30800.0</v>
      </c>
      <c r="H157" s="157">
        <v>37000.0</v>
      </c>
    </row>
    <row r="158">
      <c r="B158" s="120" t="s">
        <v>398</v>
      </c>
      <c r="C158" s="47"/>
      <c r="D158" s="20" t="s">
        <v>23</v>
      </c>
      <c r="E158" s="157">
        <v>8073.0</v>
      </c>
      <c r="F158" s="86">
        <v>19400.0</v>
      </c>
      <c r="G158" s="86">
        <v>27000.0</v>
      </c>
      <c r="H158" s="86">
        <v>30000.0</v>
      </c>
    </row>
    <row r="159">
      <c r="B159" s="120" t="s">
        <v>398</v>
      </c>
      <c r="C159" s="47"/>
      <c r="D159" s="20" t="s">
        <v>116</v>
      </c>
      <c r="E159" s="157">
        <v>8700.0</v>
      </c>
      <c r="F159" s="86">
        <v>24650.0</v>
      </c>
      <c r="G159" s="86">
        <v>35530.0</v>
      </c>
      <c r="H159" s="86">
        <v>44300.0</v>
      </c>
    </row>
    <row r="160">
      <c r="B160" s="120" t="s">
        <v>398</v>
      </c>
      <c r="C160" s="47"/>
      <c r="D160" s="20" t="s">
        <v>343</v>
      </c>
      <c r="E160" s="157">
        <v>8700.0</v>
      </c>
      <c r="F160" s="86">
        <v>23700.0</v>
      </c>
      <c r="G160" s="86">
        <v>26070.0</v>
      </c>
      <c r="H160" s="86">
        <v>29000.0</v>
      </c>
    </row>
    <row r="161">
      <c r="B161" s="120" t="s">
        <v>398</v>
      </c>
      <c r="C161" s="47"/>
      <c r="D161" s="20" t="s">
        <v>210</v>
      </c>
      <c r="E161" s="157">
        <v>26910.0</v>
      </c>
      <c r="F161" s="86">
        <v>67813.0</v>
      </c>
      <c r="G161" s="86">
        <v>74600.0</v>
      </c>
      <c r="H161" s="86">
        <v>85000.0</v>
      </c>
    </row>
    <row r="162">
      <c r="B162" s="120" t="s">
        <v>398</v>
      </c>
      <c r="C162" s="47"/>
      <c r="D162" s="20" t="s">
        <v>216</v>
      </c>
      <c r="E162" s="157">
        <v>37675.0</v>
      </c>
      <c r="F162" s="157">
        <v>43213.0</v>
      </c>
      <c r="G162" s="157">
        <v>50000.0</v>
      </c>
      <c r="H162" s="157">
        <v>100000.0</v>
      </c>
    </row>
    <row r="163">
      <c r="B163" s="120" t="s">
        <v>398</v>
      </c>
      <c r="C163" s="47"/>
      <c r="D163" s="20" t="s">
        <v>312</v>
      </c>
      <c r="E163" s="157">
        <v>21530.0</v>
      </c>
      <c r="F163" s="157">
        <v>33780.0</v>
      </c>
      <c r="G163" s="157">
        <v>44000.0</v>
      </c>
      <c r="H163" s="157">
        <v>51000.0</v>
      </c>
    </row>
    <row r="164">
      <c r="B164" s="120" t="s">
        <v>398</v>
      </c>
      <c r="C164" s="47"/>
      <c r="D164" s="20" t="s">
        <v>117</v>
      </c>
      <c r="E164" s="157">
        <v>8700.0</v>
      </c>
      <c r="F164" s="157">
        <v>13700.0</v>
      </c>
      <c r="G164" s="157">
        <v>20130.0</v>
      </c>
      <c r="H164" s="157">
        <v>28790.0</v>
      </c>
    </row>
    <row r="165">
      <c r="B165" s="120" t="s">
        <v>398</v>
      </c>
      <c r="C165" s="47"/>
      <c r="D165" s="20" t="s">
        <v>122</v>
      </c>
      <c r="E165" s="157">
        <v>37674.0</v>
      </c>
      <c r="F165" s="157">
        <v>67450.0</v>
      </c>
      <c r="G165" s="157">
        <v>80500.0</v>
      </c>
      <c r="H165" s="157">
        <v>120000.0</v>
      </c>
    </row>
    <row r="166">
      <c r="B166" s="120" t="s">
        <v>398</v>
      </c>
      <c r="C166" s="47"/>
      <c r="D166" s="20" t="s">
        <v>218</v>
      </c>
      <c r="E166" s="157">
        <v>37675.0</v>
      </c>
      <c r="F166" s="157">
        <v>38500.0</v>
      </c>
      <c r="G166" s="157">
        <v>42900.0</v>
      </c>
      <c r="H166" s="157">
        <v>70000.0</v>
      </c>
    </row>
    <row r="167">
      <c r="B167" s="120" t="s">
        <v>398</v>
      </c>
      <c r="C167" s="47"/>
      <c r="D167" s="20" t="s">
        <v>320</v>
      </c>
      <c r="E167" s="157">
        <v>8073.0</v>
      </c>
      <c r="F167" s="157">
        <v>35683.0</v>
      </c>
      <c r="G167" s="157">
        <v>38200.0</v>
      </c>
      <c r="H167" s="157">
        <v>40600.0</v>
      </c>
    </row>
    <row r="168">
      <c r="B168" s="120" t="s">
        <v>398</v>
      </c>
      <c r="C168" s="47"/>
      <c r="D168" s="60" t="s">
        <v>253</v>
      </c>
      <c r="E168" s="157">
        <v>48438.0</v>
      </c>
      <c r="F168" s="86">
        <v>43056.0</v>
      </c>
      <c r="G168" s="157">
        <v>53300.0</v>
      </c>
      <c r="H168" s="157">
        <v>69520.0</v>
      </c>
    </row>
    <row r="169">
      <c r="B169" s="120" t="s">
        <v>398</v>
      </c>
      <c r="C169" s="47"/>
      <c r="D169" s="20" t="s">
        <v>217</v>
      </c>
      <c r="E169" s="157">
        <v>43056.0</v>
      </c>
      <c r="F169" s="157">
        <v>83421.0</v>
      </c>
      <c r="G169" s="157">
        <v>103300.0</v>
      </c>
      <c r="H169" s="157">
        <v>120000.0</v>
      </c>
    </row>
    <row r="170">
      <c r="B170" s="120" t="s">
        <v>398</v>
      </c>
      <c r="C170" s="47"/>
      <c r="D170" s="60" t="s">
        <v>211</v>
      </c>
      <c r="E170" s="157">
        <v>26910.0</v>
      </c>
      <c r="F170" s="157">
        <v>53913.0</v>
      </c>
      <c r="G170" s="157">
        <v>61700.0</v>
      </c>
      <c r="H170" s="157">
        <v>73000.0</v>
      </c>
    </row>
    <row r="171">
      <c r="B171" s="120" t="s">
        <v>398</v>
      </c>
      <c r="C171" s="47"/>
      <c r="D171" s="20" t="s">
        <v>213</v>
      </c>
      <c r="E171" s="157">
        <v>43056.0</v>
      </c>
      <c r="F171" s="159">
        <v>43056.0</v>
      </c>
      <c r="G171" s="157">
        <v>41470.0</v>
      </c>
      <c r="H171" s="157">
        <v>173400.0</v>
      </c>
    </row>
    <row r="172">
      <c r="B172" s="120" t="s">
        <v>398</v>
      </c>
      <c r="C172" s="47"/>
      <c r="D172" s="20" t="s">
        <v>123</v>
      </c>
      <c r="E172" s="157">
        <v>8073.0</v>
      </c>
      <c r="F172" s="157">
        <v>17340.0</v>
      </c>
      <c r="G172" s="157">
        <v>26050.0</v>
      </c>
      <c r="H172" s="157">
        <v>39100.0</v>
      </c>
    </row>
    <row r="173">
      <c r="B173" s="120" t="s">
        <v>398</v>
      </c>
      <c r="C173" s="47"/>
      <c r="D173" s="20" t="s">
        <v>125</v>
      </c>
      <c r="E173" s="157">
        <v>8073.0</v>
      </c>
      <c r="F173" s="157">
        <v>13370.0</v>
      </c>
      <c r="G173" s="157">
        <v>20680.0</v>
      </c>
      <c r="H173" s="157">
        <v>31250.0</v>
      </c>
    </row>
    <row r="174">
      <c r="B174" s="120" t="s">
        <v>398</v>
      </c>
      <c r="C174" s="50"/>
      <c r="D174" s="20" t="s">
        <v>294</v>
      </c>
      <c r="E174" s="159">
        <v>26910.0</v>
      </c>
      <c r="F174" s="157">
        <v>45313.0</v>
      </c>
      <c r="G174" s="157">
        <v>52100.0</v>
      </c>
      <c r="H174" s="157">
        <v>63500.0</v>
      </c>
    </row>
    <row r="175">
      <c r="B175" s="133"/>
      <c r="C175" s="134"/>
      <c r="D175" s="91"/>
      <c r="E175" s="134"/>
      <c r="F175" s="134"/>
      <c r="G175" s="134"/>
      <c r="H175" s="134"/>
    </row>
    <row r="176">
      <c r="B176" s="120" t="s">
        <v>398</v>
      </c>
      <c r="C176" s="69" t="s">
        <v>401</v>
      </c>
      <c r="D176" s="57" t="s">
        <v>104</v>
      </c>
      <c r="E176" s="157">
        <v>21528.0</v>
      </c>
      <c r="F176" s="86">
        <v>62431.0</v>
      </c>
      <c r="G176" s="86">
        <v>47200.0</v>
      </c>
      <c r="H176" s="86">
        <v>59000.0</v>
      </c>
    </row>
    <row r="177">
      <c r="B177" s="120" t="s">
        <v>398</v>
      </c>
      <c r="C177" s="139"/>
      <c r="D177" s="57" t="s">
        <v>232</v>
      </c>
      <c r="E177" s="157">
        <v>21528.0</v>
      </c>
      <c r="F177" s="157">
        <v>31000.0</v>
      </c>
      <c r="G177" s="86">
        <v>37674.0</v>
      </c>
      <c r="H177" s="157">
        <v>40700.0</v>
      </c>
    </row>
    <row r="178">
      <c r="B178" s="133"/>
      <c r="C178" s="134"/>
      <c r="D178" s="91"/>
      <c r="E178" s="134"/>
      <c r="F178" s="134"/>
      <c r="G178" s="134"/>
      <c r="H178" s="134"/>
    </row>
    <row r="179">
      <c r="B179" s="120" t="s">
        <v>394</v>
      </c>
      <c r="C179" s="69" t="s">
        <v>63</v>
      </c>
      <c r="D179" s="57" t="s">
        <v>59</v>
      </c>
      <c r="E179" s="157">
        <v>9688.0</v>
      </c>
      <c r="F179" s="157">
        <v>32300.0</v>
      </c>
      <c r="G179" s="157">
        <v>33100.0</v>
      </c>
      <c r="H179" s="157">
        <v>40220.0</v>
      </c>
    </row>
    <row r="180">
      <c r="B180" s="120" t="s">
        <v>394</v>
      </c>
      <c r="C180" s="137"/>
      <c r="D180" s="57" t="s">
        <v>66</v>
      </c>
      <c r="E180" s="157">
        <v>13774.0</v>
      </c>
      <c r="F180" s="157">
        <v>25400.0</v>
      </c>
      <c r="G180" s="157">
        <v>29600.0</v>
      </c>
      <c r="H180" s="157">
        <v>37400.0</v>
      </c>
    </row>
    <row r="181">
      <c r="B181" s="120" t="s">
        <v>394</v>
      </c>
      <c r="C181" s="50"/>
      <c r="D181" s="57" t="s">
        <v>57</v>
      </c>
      <c r="E181" s="157">
        <v>10764.0</v>
      </c>
      <c r="F181" s="157">
        <v>32300.0</v>
      </c>
      <c r="G181" s="157">
        <v>35500.0</v>
      </c>
      <c r="H181" s="157">
        <v>44350.0</v>
      </c>
    </row>
    <row r="182">
      <c r="B182" s="133"/>
      <c r="C182" s="134"/>
      <c r="D182" s="91"/>
      <c r="E182" s="134"/>
      <c r="F182" s="134"/>
      <c r="G182" s="134"/>
      <c r="H182" s="134"/>
    </row>
    <row r="183">
      <c r="B183" s="120" t="s">
        <v>394</v>
      </c>
      <c r="C183" s="69" t="s">
        <v>49</v>
      </c>
      <c r="D183" s="57" t="s">
        <v>347</v>
      </c>
      <c r="E183" s="162">
        <v>10656.0</v>
      </c>
      <c r="F183" s="162">
        <v>18550.0</v>
      </c>
      <c r="G183" s="162">
        <v>23700.0</v>
      </c>
      <c r="H183" s="162">
        <v>31560.0</v>
      </c>
    </row>
    <row r="184">
      <c r="B184" s="133"/>
      <c r="C184" s="134"/>
      <c r="D184" s="91"/>
      <c r="E184" s="134"/>
      <c r="F184" s="134"/>
      <c r="G184" s="134"/>
      <c r="H184" s="134"/>
    </row>
    <row r="185">
      <c r="B185" s="120" t="s">
        <v>394</v>
      </c>
      <c r="C185" s="69" t="s">
        <v>68</v>
      </c>
      <c r="D185" s="57" t="s">
        <v>72</v>
      </c>
      <c r="E185" s="86">
        <v>4037.0</v>
      </c>
      <c r="F185" s="86">
        <v>8073.0</v>
      </c>
      <c r="G185" s="86">
        <v>11900.0</v>
      </c>
      <c r="H185" s="86">
        <v>13400.0</v>
      </c>
    </row>
    <row r="186">
      <c r="B186" s="120" t="s">
        <v>394</v>
      </c>
      <c r="C186" s="137"/>
      <c r="D186" s="57" t="s">
        <v>299</v>
      </c>
      <c r="E186" s="157">
        <v>8611.0</v>
      </c>
      <c r="F186" s="157">
        <v>32300.0</v>
      </c>
      <c r="G186" s="157">
        <v>42700.0</v>
      </c>
      <c r="H186" s="157">
        <v>49540.0</v>
      </c>
    </row>
    <row r="187">
      <c r="B187" s="120" t="s">
        <v>394</v>
      </c>
      <c r="C187" s="47"/>
      <c r="D187" s="57" t="s">
        <v>52</v>
      </c>
      <c r="E187" s="157">
        <v>21528.0</v>
      </c>
      <c r="F187" s="157">
        <v>67800.0</v>
      </c>
      <c r="G187" s="157">
        <v>87200.0</v>
      </c>
      <c r="H187" s="157">
        <v>95900.0</v>
      </c>
    </row>
    <row r="188">
      <c r="B188" s="120" t="s">
        <v>394</v>
      </c>
      <c r="C188" s="47"/>
      <c r="D188" s="57" t="s">
        <v>289</v>
      </c>
      <c r="E188" s="157">
        <v>48438.0</v>
      </c>
      <c r="F188" s="86">
        <v>43056.0</v>
      </c>
      <c r="G188" s="157">
        <v>61600.0</v>
      </c>
      <c r="H188" s="157">
        <v>84700.0</v>
      </c>
    </row>
    <row r="189">
      <c r="B189" s="120" t="s">
        <v>394</v>
      </c>
      <c r="C189" s="47"/>
      <c r="D189" s="57" t="s">
        <v>70</v>
      </c>
      <c r="E189" s="157">
        <v>8394.0</v>
      </c>
      <c r="F189" s="157">
        <v>43056.0</v>
      </c>
      <c r="G189" s="157">
        <v>42700.0</v>
      </c>
      <c r="H189" s="157">
        <v>49550.0</v>
      </c>
    </row>
    <row r="190">
      <c r="B190" s="120" t="s">
        <v>394</v>
      </c>
      <c r="C190" s="50"/>
      <c r="D190" s="57" t="s">
        <v>68</v>
      </c>
      <c r="E190" s="157">
        <v>5382.0</v>
      </c>
      <c r="F190" s="86">
        <v>23700.0</v>
      </c>
      <c r="G190" s="86">
        <v>35600.0</v>
      </c>
      <c r="H190" s="86">
        <v>42000.0</v>
      </c>
    </row>
    <row r="191">
      <c r="B191" s="133"/>
      <c r="C191" s="134"/>
      <c r="D191" s="91"/>
      <c r="E191" s="134"/>
      <c r="F191" s="134"/>
      <c r="G191" s="134"/>
      <c r="H191" s="134"/>
    </row>
    <row r="192">
      <c r="B192" s="120" t="s">
        <v>398</v>
      </c>
      <c r="C192" s="69" t="s">
        <v>22</v>
      </c>
      <c r="D192" s="57" t="s">
        <v>318</v>
      </c>
      <c r="E192" s="157">
        <v>15070.0</v>
      </c>
      <c r="F192" s="86">
        <v>21500.0</v>
      </c>
      <c r="G192" s="157">
        <v>34900.0</v>
      </c>
      <c r="H192" s="157">
        <v>46500.0</v>
      </c>
    </row>
    <row r="193">
      <c r="B193" s="120" t="s">
        <v>398</v>
      </c>
      <c r="C193" s="137"/>
      <c r="D193" s="57" t="s">
        <v>314</v>
      </c>
      <c r="E193" s="157">
        <v>13000.0</v>
      </c>
      <c r="F193" s="157">
        <v>29063.0</v>
      </c>
      <c r="G193" s="157">
        <v>34340.0</v>
      </c>
      <c r="H193" s="157">
        <v>48400.0</v>
      </c>
    </row>
    <row r="194">
      <c r="B194" s="120" t="s">
        <v>398</v>
      </c>
      <c r="C194" s="47"/>
      <c r="D194" s="57" t="s">
        <v>22</v>
      </c>
      <c r="E194" s="157">
        <v>10764.0</v>
      </c>
      <c r="F194" s="86">
        <v>21500.0</v>
      </c>
      <c r="G194" s="86">
        <v>26910.0</v>
      </c>
      <c r="H194" s="86">
        <v>35600.0</v>
      </c>
    </row>
    <row r="195">
      <c r="B195" s="120" t="s">
        <v>398</v>
      </c>
      <c r="C195" s="47"/>
      <c r="D195" s="57" t="s">
        <v>333</v>
      </c>
      <c r="E195" s="159">
        <v>13993.0</v>
      </c>
      <c r="F195" s="157">
        <v>26000.0</v>
      </c>
      <c r="G195" s="157">
        <v>30140.0</v>
      </c>
      <c r="H195" s="157">
        <v>37900.0</v>
      </c>
    </row>
    <row r="196">
      <c r="B196" s="120" t="s">
        <v>398</v>
      </c>
      <c r="C196" s="47"/>
      <c r="D196" s="57" t="s">
        <v>26</v>
      </c>
      <c r="E196" s="157">
        <v>12920.0</v>
      </c>
      <c r="F196" s="86">
        <v>45209.0</v>
      </c>
      <c r="G196" s="86">
        <v>49713.0</v>
      </c>
      <c r="H196" s="86">
        <v>54700.0</v>
      </c>
    </row>
    <row r="197">
      <c r="B197" s="120" t="s">
        <v>398</v>
      </c>
      <c r="C197" s="50"/>
      <c r="D197" s="57" t="s">
        <v>110</v>
      </c>
      <c r="E197" s="157">
        <v>16146.0</v>
      </c>
      <c r="F197" s="157">
        <v>39827.0</v>
      </c>
      <c r="G197" s="157">
        <v>43060.0</v>
      </c>
      <c r="H197" s="157">
        <v>50000.0</v>
      </c>
    </row>
    <row r="198">
      <c r="B198" s="133"/>
      <c r="C198" s="134"/>
      <c r="D198" s="91"/>
      <c r="E198" s="134"/>
      <c r="F198" s="134"/>
      <c r="G198" s="134"/>
      <c r="H198" s="134"/>
    </row>
    <row r="199">
      <c r="B199" s="120" t="s">
        <v>398</v>
      </c>
      <c r="C199" s="69" t="s">
        <v>128</v>
      </c>
      <c r="D199" s="60" t="s">
        <v>126</v>
      </c>
      <c r="E199" s="157">
        <v>9149.0</v>
      </c>
      <c r="F199" s="157">
        <v>28000.0</v>
      </c>
      <c r="G199" s="157">
        <v>31300.0</v>
      </c>
      <c r="H199" s="157">
        <v>41400.0</v>
      </c>
    </row>
    <row r="200">
      <c r="B200" s="120" t="s">
        <v>398</v>
      </c>
      <c r="C200" s="137"/>
      <c r="D200" s="60" t="s">
        <v>220</v>
      </c>
      <c r="E200" s="157">
        <v>36000.0</v>
      </c>
      <c r="F200" s="157">
        <v>40200.0</v>
      </c>
      <c r="G200" s="157">
        <v>46800.0</v>
      </c>
      <c r="H200" s="157">
        <v>61600.0</v>
      </c>
    </row>
    <row r="201">
      <c r="B201" s="120" t="s">
        <v>398</v>
      </c>
      <c r="C201" s="47"/>
      <c r="D201" s="60" t="s">
        <v>328</v>
      </c>
      <c r="E201" s="157">
        <v>15500.0</v>
      </c>
      <c r="F201" s="157">
        <v>31431.0</v>
      </c>
      <c r="G201" s="157">
        <v>35500.0</v>
      </c>
      <c r="H201" s="157">
        <v>37400.0</v>
      </c>
    </row>
    <row r="202">
      <c r="B202" s="120" t="s">
        <v>398</v>
      </c>
      <c r="C202" s="47"/>
      <c r="D202" s="60" t="s">
        <v>199</v>
      </c>
      <c r="E202" s="157">
        <v>43056.0</v>
      </c>
      <c r="F202" s="86">
        <v>42000.0</v>
      </c>
      <c r="G202" s="157">
        <v>60500.0</v>
      </c>
      <c r="H202" s="157">
        <v>74700.0</v>
      </c>
    </row>
    <row r="203">
      <c r="B203" s="120" t="s">
        <v>398</v>
      </c>
      <c r="C203" s="47"/>
      <c r="D203" s="60" t="s">
        <v>127</v>
      </c>
      <c r="E203" s="157">
        <v>9149.0</v>
      </c>
      <c r="F203" s="157">
        <v>28000.0</v>
      </c>
      <c r="G203" s="157">
        <v>34000.0</v>
      </c>
      <c r="H203" s="157">
        <v>42100.0</v>
      </c>
    </row>
    <row r="204">
      <c r="B204" s="120" t="s">
        <v>398</v>
      </c>
      <c r="C204" s="47"/>
      <c r="D204" s="20" t="s">
        <v>203</v>
      </c>
      <c r="E204" s="157">
        <v>21528.0</v>
      </c>
      <c r="F204" s="157">
        <v>28400.0</v>
      </c>
      <c r="G204" s="157">
        <v>35500.0</v>
      </c>
      <c r="H204" s="157">
        <v>37300.0</v>
      </c>
    </row>
    <row r="205">
      <c r="B205" s="120" t="s">
        <v>398</v>
      </c>
      <c r="C205" s="47"/>
      <c r="D205" s="60" t="s">
        <v>283</v>
      </c>
      <c r="E205" s="157">
        <v>32292.0</v>
      </c>
      <c r="F205" s="86">
        <v>59202.0</v>
      </c>
      <c r="G205" s="86">
        <v>65200.0</v>
      </c>
      <c r="H205" s="86">
        <v>82500.0</v>
      </c>
    </row>
    <row r="206">
      <c r="B206" s="120" t="s">
        <v>398</v>
      </c>
      <c r="C206" s="47"/>
      <c r="D206" s="60" t="s">
        <v>120</v>
      </c>
      <c r="E206" s="157">
        <v>15070.0</v>
      </c>
      <c r="F206" s="157">
        <v>28540.0</v>
      </c>
      <c r="G206" s="157">
        <v>39300.0</v>
      </c>
      <c r="H206" s="157">
        <v>52170.0</v>
      </c>
    </row>
    <row r="207">
      <c r="B207" s="120" t="s">
        <v>398</v>
      </c>
      <c r="C207" s="47"/>
      <c r="D207" s="60" t="s">
        <v>207</v>
      </c>
      <c r="E207" s="157">
        <v>16146.0</v>
      </c>
      <c r="F207" s="157">
        <v>26910.0</v>
      </c>
      <c r="G207" s="157">
        <v>29600.0</v>
      </c>
      <c r="H207" s="157">
        <v>41600.0</v>
      </c>
    </row>
    <row r="208">
      <c r="B208" s="120" t="s">
        <v>398</v>
      </c>
      <c r="C208" s="47"/>
      <c r="D208" s="60" t="s">
        <v>285</v>
      </c>
      <c r="E208" s="159">
        <v>43056.0</v>
      </c>
      <c r="F208" s="86">
        <v>42000.0</v>
      </c>
      <c r="G208" s="157">
        <v>73200.0</v>
      </c>
      <c r="H208" s="157">
        <v>81000.0</v>
      </c>
    </row>
    <row r="209">
      <c r="B209" s="120" t="s">
        <v>398</v>
      </c>
      <c r="C209" s="47"/>
      <c r="D209" s="60" t="s">
        <v>130</v>
      </c>
      <c r="E209" s="157">
        <v>9149.0</v>
      </c>
      <c r="F209" s="157">
        <v>28000.0</v>
      </c>
      <c r="G209" s="157">
        <v>30200.0</v>
      </c>
      <c r="H209" s="157">
        <v>55700.0</v>
      </c>
    </row>
    <row r="210">
      <c r="B210" s="120" t="s">
        <v>398</v>
      </c>
      <c r="C210" s="47"/>
      <c r="D210" s="60" t="s">
        <v>204</v>
      </c>
      <c r="E210" s="157">
        <v>26910.0</v>
      </c>
      <c r="F210" s="157">
        <v>39612.0</v>
      </c>
      <c r="G210" s="157">
        <v>61700.0</v>
      </c>
      <c r="H210" s="157">
        <v>74500.0</v>
      </c>
    </row>
    <row r="211">
      <c r="B211" s="120" t="s">
        <v>398</v>
      </c>
      <c r="C211" s="47"/>
      <c r="D211" s="60" t="s">
        <v>202</v>
      </c>
      <c r="E211" s="157">
        <v>16146.0</v>
      </c>
      <c r="F211" s="157">
        <v>39612.0</v>
      </c>
      <c r="G211" s="157">
        <v>49000.0</v>
      </c>
      <c r="H211" s="157">
        <v>71000.0</v>
      </c>
    </row>
    <row r="212">
      <c r="B212" s="120" t="s">
        <v>398</v>
      </c>
      <c r="C212" s="47"/>
      <c r="D212" s="60" t="s">
        <v>121</v>
      </c>
      <c r="E212" s="157">
        <v>15070.0</v>
      </c>
      <c r="F212" s="157">
        <v>28540.0</v>
      </c>
      <c r="G212" s="157">
        <v>39300.0</v>
      </c>
      <c r="H212" s="157">
        <v>52170.0</v>
      </c>
    </row>
    <row r="213">
      <c r="B213" s="120" t="s">
        <v>398</v>
      </c>
      <c r="C213" s="47"/>
      <c r="D213" s="60" t="s">
        <v>224</v>
      </c>
      <c r="E213" s="157">
        <v>32292.0</v>
      </c>
      <c r="F213" s="157">
        <v>36340.0</v>
      </c>
      <c r="G213" s="157">
        <v>41500.0</v>
      </c>
      <c r="H213" s="157">
        <v>69210.0</v>
      </c>
    </row>
    <row r="214">
      <c r="B214" s="120" t="s">
        <v>398</v>
      </c>
      <c r="C214" s="47"/>
      <c r="D214" s="60" t="s">
        <v>225</v>
      </c>
      <c r="E214" s="157">
        <v>32292.0</v>
      </c>
      <c r="F214" s="157">
        <v>33650.0</v>
      </c>
      <c r="G214" s="157">
        <v>52300.0</v>
      </c>
      <c r="H214" s="157">
        <v>65360.0</v>
      </c>
    </row>
    <row r="215">
      <c r="B215" s="120" t="s">
        <v>398</v>
      </c>
      <c r="C215" s="47"/>
      <c r="D215" s="60" t="s">
        <v>128</v>
      </c>
      <c r="E215" s="157">
        <v>6460.0</v>
      </c>
      <c r="F215" s="86">
        <v>16792.0</v>
      </c>
      <c r="G215" s="157">
        <v>23700.0</v>
      </c>
      <c r="H215" s="157">
        <v>29200.0</v>
      </c>
    </row>
    <row r="216">
      <c r="B216" s="120" t="s">
        <v>398</v>
      </c>
      <c r="C216" s="47"/>
      <c r="D216" s="60" t="s">
        <v>131</v>
      </c>
      <c r="E216" s="157">
        <v>6460.0</v>
      </c>
      <c r="F216" s="86">
        <v>16792.0</v>
      </c>
      <c r="G216" s="157">
        <v>26100.0</v>
      </c>
      <c r="H216" s="157">
        <v>35650.0</v>
      </c>
    </row>
    <row r="217">
      <c r="B217" s="120" t="s">
        <v>398</v>
      </c>
      <c r="C217" s="47"/>
      <c r="D217" s="60" t="s">
        <v>281</v>
      </c>
      <c r="E217" s="157">
        <v>21528.0</v>
      </c>
      <c r="F217" s="157">
        <v>26750.0</v>
      </c>
      <c r="G217" s="157">
        <v>32300.0</v>
      </c>
      <c r="H217" s="157">
        <v>90000.0</v>
      </c>
    </row>
    <row r="218">
      <c r="B218" s="120" t="s">
        <v>398</v>
      </c>
      <c r="C218" s="50"/>
      <c r="D218" s="60" t="s">
        <v>129</v>
      </c>
      <c r="E218" s="157">
        <v>9149.0</v>
      </c>
      <c r="F218" s="157">
        <v>28000.0</v>
      </c>
      <c r="G218" s="157">
        <v>34300.0</v>
      </c>
      <c r="H218" s="157">
        <v>49000.0</v>
      </c>
    </row>
    <row r="219">
      <c r="B219" s="140"/>
      <c r="C219" s="189"/>
      <c r="D219" s="174"/>
      <c r="E219" s="174"/>
      <c r="F219" s="174"/>
      <c r="G219" s="174"/>
      <c r="H219" s="174"/>
      <c r="I219" s="8"/>
    </row>
    <row r="220">
      <c r="B220" s="144"/>
      <c r="C220" s="75" t="s">
        <v>367</v>
      </c>
      <c r="D220" s="17"/>
      <c r="E220" s="20">
        <v>2690.0</v>
      </c>
      <c r="F220" s="20">
        <v>3500.0</v>
      </c>
      <c r="G220" s="20">
        <v>9120.0</v>
      </c>
      <c r="H220" s="20">
        <v>10000.0</v>
      </c>
    </row>
    <row r="221">
      <c r="B221" s="144"/>
      <c r="C221" s="75" t="s">
        <v>369</v>
      </c>
      <c r="D221" s="17"/>
      <c r="E221" s="20">
        <v>2690.0</v>
      </c>
      <c r="F221" s="20">
        <v>3500.0</v>
      </c>
      <c r="G221" s="20">
        <v>9120.0</v>
      </c>
      <c r="H221" s="20">
        <v>10000.0</v>
      </c>
      <c r="I221" s="8"/>
    </row>
    <row r="222">
      <c r="B222" s="144"/>
      <c r="C222" s="75" t="s">
        <v>344</v>
      </c>
      <c r="D222" s="17"/>
      <c r="E222" s="157">
        <v>8073.0</v>
      </c>
      <c r="F222" s="86">
        <v>19400.0</v>
      </c>
      <c r="G222" s="86">
        <v>27000.0</v>
      </c>
      <c r="H222" s="86">
        <v>30000.0</v>
      </c>
      <c r="I222" s="8"/>
    </row>
    <row r="223">
      <c r="B223" s="144"/>
      <c r="C223" s="75" t="s">
        <v>352</v>
      </c>
      <c r="D223" s="17"/>
      <c r="E223" s="157">
        <v>8073.0</v>
      </c>
      <c r="F223" s="86">
        <v>19400.0</v>
      </c>
      <c r="G223" s="86">
        <v>27000.0</v>
      </c>
      <c r="H223" s="86">
        <v>30000.0</v>
      </c>
      <c r="I223" s="8"/>
    </row>
    <row r="224">
      <c r="B224" s="144"/>
      <c r="C224" s="75" t="s">
        <v>351</v>
      </c>
      <c r="D224" s="17"/>
      <c r="E224" s="157">
        <v>8073.0</v>
      </c>
      <c r="F224" s="86">
        <v>19400.0</v>
      </c>
      <c r="G224" s="86">
        <v>27000.0</v>
      </c>
      <c r="H224" s="86">
        <v>30000.0</v>
      </c>
      <c r="I224" s="8"/>
    </row>
    <row r="225">
      <c r="B225" s="144"/>
      <c r="C225" s="75" t="s">
        <v>345</v>
      </c>
      <c r="D225" s="17"/>
      <c r="E225" s="162">
        <v>10656.0</v>
      </c>
      <c r="F225" s="162">
        <v>18550.0</v>
      </c>
      <c r="G225" s="162">
        <v>23700.0</v>
      </c>
      <c r="H225" s="162">
        <v>31560.0</v>
      </c>
      <c r="I225" s="8"/>
    </row>
    <row r="226">
      <c r="B226" s="144"/>
      <c r="C226" s="75" t="s">
        <v>355</v>
      </c>
      <c r="D226" s="17"/>
      <c r="E226" s="162">
        <v>10656.0</v>
      </c>
      <c r="F226" s="162">
        <v>18550.0</v>
      </c>
      <c r="G226" s="162">
        <v>23700.0</v>
      </c>
      <c r="H226" s="162">
        <v>31560.0</v>
      </c>
      <c r="I226" s="8"/>
    </row>
    <row r="227">
      <c r="B227" s="144"/>
      <c r="C227" s="75" t="s">
        <v>350</v>
      </c>
      <c r="D227" s="17"/>
      <c r="E227" s="162">
        <v>10656.0</v>
      </c>
      <c r="F227" s="162">
        <v>18550.0</v>
      </c>
      <c r="G227" s="162">
        <v>23700.0</v>
      </c>
      <c r="H227" s="162">
        <v>31560.0</v>
      </c>
      <c r="I227" s="8"/>
    </row>
    <row r="228">
      <c r="B228" s="144"/>
      <c r="C228" s="75" t="s">
        <v>339</v>
      </c>
      <c r="D228" s="17"/>
      <c r="E228" s="20">
        <v>1500.0</v>
      </c>
      <c r="F228" s="175">
        <v>16146.0</v>
      </c>
      <c r="G228" s="175">
        <v>17800.0</v>
      </c>
      <c r="H228" s="175">
        <v>31000.0</v>
      </c>
      <c r="I228" s="8"/>
    </row>
    <row r="229">
      <c r="B229" s="144"/>
      <c r="C229" s="146" t="s">
        <v>336</v>
      </c>
      <c r="D229" s="17"/>
      <c r="E229" s="20">
        <v>1500.0</v>
      </c>
      <c r="F229" s="175">
        <v>16146.0</v>
      </c>
      <c r="G229" s="175">
        <v>17800.0</v>
      </c>
      <c r="H229" s="175">
        <v>31000.0</v>
      </c>
      <c r="I229" s="183"/>
    </row>
    <row r="230">
      <c r="B230" s="144"/>
      <c r="C230" s="146" t="s">
        <v>340</v>
      </c>
      <c r="D230" s="17"/>
      <c r="E230" s="20">
        <v>1500.0</v>
      </c>
      <c r="F230" s="175">
        <v>16146.0</v>
      </c>
      <c r="G230" s="175">
        <v>17800.0</v>
      </c>
      <c r="H230" s="175">
        <v>31000.0</v>
      </c>
      <c r="I230" s="183"/>
    </row>
    <row r="231">
      <c r="B231" s="144"/>
      <c r="C231" s="75" t="s">
        <v>370</v>
      </c>
      <c r="D231" s="17"/>
      <c r="E231" s="20">
        <v>1615.0</v>
      </c>
      <c r="F231" s="20">
        <v>6458.0</v>
      </c>
      <c r="G231" s="20">
        <v>8500.0</v>
      </c>
      <c r="H231" s="20">
        <v>9700.0</v>
      </c>
      <c r="I231" s="8"/>
    </row>
    <row r="232">
      <c r="B232" s="144"/>
      <c r="C232" s="75" t="s">
        <v>368</v>
      </c>
      <c r="D232" s="17"/>
      <c r="E232" s="20">
        <v>1615.0</v>
      </c>
      <c r="F232" s="20">
        <v>6458.0</v>
      </c>
      <c r="G232" s="20">
        <v>8500.0</v>
      </c>
      <c r="H232" s="20">
        <v>9700.0</v>
      </c>
    </row>
    <row r="233">
      <c r="B233" s="144"/>
      <c r="C233" s="75" t="s">
        <v>359</v>
      </c>
      <c r="D233" s="17"/>
      <c r="E233" s="20">
        <v>5382.0</v>
      </c>
      <c r="F233" s="20">
        <v>10000.0</v>
      </c>
      <c r="G233" s="20">
        <v>13100.0</v>
      </c>
      <c r="H233" s="20">
        <v>18000.0</v>
      </c>
    </row>
    <row r="234">
      <c r="B234" s="144"/>
      <c r="C234" s="75" t="s">
        <v>356</v>
      </c>
      <c r="D234" s="17"/>
      <c r="E234" s="20">
        <v>5382.0</v>
      </c>
      <c r="F234" s="20">
        <v>10000.0</v>
      </c>
      <c r="G234" s="20">
        <v>13100.0</v>
      </c>
      <c r="H234" s="20">
        <v>18000.0</v>
      </c>
    </row>
    <row r="235">
      <c r="B235" s="144"/>
      <c r="C235" s="75" t="s">
        <v>360</v>
      </c>
      <c r="D235" s="17"/>
      <c r="E235" s="20">
        <v>5382.0</v>
      </c>
      <c r="F235" s="20">
        <v>10000.0</v>
      </c>
      <c r="G235" s="20">
        <v>13100.0</v>
      </c>
      <c r="H235" s="20">
        <v>18000.0</v>
      </c>
    </row>
    <row r="236">
      <c r="B236" s="144"/>
      <c r="C236" s="75" t="s">
        <v>361</v>
      </c>
      <c r="D236" s="17"/>
      <c r="E236" s="20">
        <v>9000.0</v>
      </c>
      <c r="F236" s="20">
        <v>11400.0</v>
      </c>
      <c r="G236" s="20">
        <v>16600.0</v>
      </c>
      <c r="H236" s="20">
        <v>18200.0</v>
      </c>
    </row>
    <row r="237">
      <c r="B237" s="144"/>
      <c r="C237" s="75" t="s">
        <v>357</v>
      </c>
      <c r="D237" s="17"/>
      <c r="E237" s="20">
        <v>9000.0</v>
      </c>
      <c r="F237" s="20">
        <v>11400.0</v>
      </c>
      <c r="G237" s="20">
        <v>16600.0</v>
      </c>
      <c r="H237" s="20">
        <v>18200.0</v>
      </c>
    </row>
    <row r="238">
      <c r="B238" s="144"/>
      <c r="C238" s="75" t="s">
        <v>337</v>
      </c>
      <c r="D238" s="17"/>
      <c r="E238" s="157">
        <v>10764.0</v>
      </c>
      <c r="F238" s="86">
        <v>21500.0</v>
      </c>
      <c r="G238" s="86">
        <v>26910.0</v>
      </c>
      <c r="H238" s="86">
        <v>35600.0</v>
      </c>
    </row>
    <row r="239">
      <c r="B239" s="148"/>
      <c r="C239" s="65" t="s">
        <v>341</v>
      </c>
      <c r="D239" s="17"/>
      <c r="E239" s="157">
        <v>10764.0</v>
      </c>
      <c r="F239" s="86">
        <v>21500.0</v>
      </c>
      <c r="G239" s="86">
        <v>26910.0</v>
      </c>
      <c r="H239" s="86">
        <v>35600.0</v>
      </c>
    </row>
    <row r="240">
      <c r="B240" s="148"/>
      <c r="C240" s="65" t="s">
        <v>338</v>
      </c>
      <c r="D240" s="150"/>
      <c r="E240" s="157">
        <v>10764.0</v>
      </c>
      <c r="F240" s="86">
        <v>21500.0</v>
      </c>
      <c r="G240" s="86">
        <v>26910.0</v>
      </c>
      <c r="H240" s="86">
        <v>35600.0</v>
      </c>
    </row>
    <row r="241">
      <c r="B241" s="148"/>
      <c r="C241" s="65" t="s">
        <v>334</v>
      </c>
      <c r="D241" s="150"/>
      <c r="E241" s="157">
        <v>10764.0</v>
      </c>
      <c r="F241" s="86">
        <v>21500.0</v>
      </c>
      <c r="G241" s="86">
        <v>26910.0</v>
      </c>
      <c r="H241" s="86">
        <v>35600.0</v>
      </c>
    </row>
    <row r="242">
      <c r="B242" s="148"/>
      <c r="C242" s="65" t="s">
        <v>310</v>
      </c>
      <c r="D242" s="150"/>
      <c r="E242" s="57">
        <v>15200.0</v>
      </c>
      <c r="F242" s="57">
        <v>33481.0</v>
      </c>
      <c r="G242" s="57">
        <v>41481.0</v>
      </c>
      <c r="H242" s="57">
        <v>51956.0</v>
      </c>
    </row>
    <row r="243">
      <c r="B243" s="148"/>
      <c r="C243" s="65" t="s">
        <v>307</v>
      </c>
      <c r="D243" s="150"/>
      <c r="E243" s="57">
        <v>15200.0</v>
      </c>
      <c r="F243" s="57">
        <v>33481.0</v>
      </c>
      <c r="G243" s="57">
        <v>41481.0</v>
      </c>
      <c r="H243" s="57">
        <v>51956.0</v>
      </c>
    </row>
    <row r="244">
      <c r="B244" s="148"/>
      <c r="C244" s="65" t="s">
        <v>306</v>
      </c>
      <c r="D244" s="150"/>
      <c r="E244" s="57">
        <v>15200.0</v>
      </c>
      <c r="F244" s="57">
        <v>33481.0</v>
      </c>
      <c r="G244" s="57">
        <v>41481.0</v>
      </c>
      <c r="H244" s="57">
        <v>51956.0</v>
      </c>
    </row>
    <row r="245">
      <c r="B245" s="148"/>
      <c r="C245" s="65" t="s">
        <v>309</v>
      </c>
      <c r="D245" s="150"/>
      <c r="E245" s="57">
        <v>15200.0</v>
      </c>
      <c r="F245" s="57">
        <v>33481.0</v>
      </c>
      <c r="G245" s="57">
        <v>41481.0</v>
      </c>
      <c r="H245" s="57">
        <v>51956.0</v>
      </c>
    </row>
    <row r="246">
      <c r="B246" s="148"/>
      <c r="C246" s="65" t="s">
        <v>40</v>
      </c>
      <c r="D246" s="150"/>
      <c r="E246" s="57">
        <v>26800.0</v>
      </c>
      <c r="F246" s="145">
        <v>32300.0</v>
      </c>
      <c r="G246" s="145">
        <v>35500.0</v>
      </c>
      <c r="H246" s="57">
        <v>40800.0</v>
      </c>
    </row>
    <row r="247">
      <c r="B247" s="148"/>
      <c r="C247" s="65" t="s">
        <v>70</v>
      </c>
      <c r="D247" s="150"/>
      <c r="E247" s="157">
        <v>8394.0</v>
      </c>
      <c r="F247" s="157">
        <v>43056.0</v>
      </c>
      <c r="G247" s="157">
        <v>42700.0</v>
      </c>
      <c r="H247" s="157">
        <v>49550.0</v>
      </c>
    </row>
    <row r="248">
      <c r="B248" s="148"/>
      <c r="C248" s="65" t="s">
        <v>364</v>
      </c>
      <c r="D248" s="150"/>
      <c r="E248" s="20">
        <v>2045.0</v>
      </c>
      <c r="F248" s="20">
        <v>10764.0</v>
      </c>
      <c r="G248" s="20">
        <v>11900.0</v>
      </c>
      <c r="H248" s="20">
        <v>13400.0</v>
      </c>
    </row>
    <row r="249">
      <c r="B249" s="148"/>
      <c r="C249" s="65" t="s">
        <v>366</v>
      </c>
      <c r="D249" s="150"/>
      <c r="E249" s="20">
        <v>2045.0</v>
      </c>
      <c r="F249" s="20">
        <v>10764.0</v>
      </c>
      <c r="G249" s="20">
        <v>11900.0</v>
      </c>
      <c r="H249" s="20">
        <v>13400.0</v>
      </c>
    </row>
    <row r="250">
      <c r="B250" s="148"/>
      <c r="C250" s="65" t="s">
        <v>362</v>
      </c>
      <c r="D250" s="150"/>
      <c r="E250" s="20">
        <v>2045.0</v>
      </c>
      <c r="F250" s="20">
        <v>10764.0</v>
      </c>
      <c r="G250" s="20">
        <v>11900.0</v>
      </c>
      <c r="H250" s="20">
        <v>13400.0</v>
      </c>
    </row>
    <row r="251">
      <c r="B251" s="148"/>
      <c r="C251" s="65" t="s">
        <v>348</v>
      </c>
      <c r="D251" s="150"/>
      <c r="E251" s="172">
        <v>5382.0</v>
      </c>
      <c r="F251" s="121">
        <v>12528.0</v>
      </c>
      <c r="G251" s="121">
        <v>21000.0</v>
      </c>
      <c r="H251" s="122">
        <v>30674.0</v>
      </c>
    </row>
    <row r="252">
      <c r="B252" s="148"/>
      <c r="C252" s="65" t="s">
        <v>349</v>
      </c>
      <c r="D252" s="139"/>
      <c r="E252" s="172">
        <v>5382.0</v>
      </c>
      <c r="F252" s="121">
        <v>12528.0</v>
      </c>
      <c r="G252" s="121">
        <v>21000.0</v>
      </c>
      <c r="H252" s="122">
        <v>30674.0</v>
      </c>
    </row>
    <row r="253">
      <c r="B253" s="148"/>
      <c r="C253" s="65" t="s">
        <v>346</v>
      </c>
      <c r="D253" s="139"/>
      <c r="E253" s="172">
        <v>5382.0</v>
      </c>
      <c r="F253" s="121">
        <v>12528.0</v>
      </c>
      <c r="G253" s="121">
        <v>21000.0</v>
      </c>
      <c r="H253" s="122">
        <v>30674.0</v>
      </c>
    </row>
    <row r="254">
      <c r="B254" s="148"/>
      <c r="C254" s="65" t="s">
        <v>303</v>
      </c>
      <c r="D254" s="139"/>
      <c r="E254" s="57">
        <v>20820.0</v>
      </c>
      <c r="F254" s="57">
        <v>32440.0</v>
      </c>
      <c r="G254" s="57">
        <v>42065.0</v>
      </c>
      <c r="H254" s="57">
        <v>57178.0</v>
      </c>
    </row>
    <row r="255">
      <c r="B255" s="148"/>
      <c r="C255" s="65" t="s">
        <v>304</v>
      </c>
      <c r="D255" s="139"/>
      <c r="E255" s="57">
        <v>20820.0</v>
      </c>
      <c r="F255" s="57">
        <v>32440.0</v>
      </c>
      <c r="G255" s="57">
        <v>42065.0</v>
      </c>
      <c r="H255" s="57">
        <v>57178.0</v>
      </c>
    </row>
    <row r="256">
      <c r="B256" s="148"/>
      <c r="C256" s="65" t="s">
        <v>300</v>
      </c>
      <c r="D256" s="139"/>
      <c r="E256" s="57">
        <v>20820.0</v>
      </c>
      <c r="F256" s="57">
        <v>32440.0</v>
      </c>
      <c r="G256" s="57">
        <v>42065.0</v>
      </c>
      <c r="H256" s="57">
        <v>57178.0</v>
      </c>
    </row>
    <row r="257">
      <c r="C257" s="65" t="s">
        <v>302</v>
      </c>
      <c r="D257" s="139"/>
      <c r="E257" s="57">
        <v>20820.0</v>
      </c>
      <c r="F257" s="57">
        <v>32440.0</v>
      </c>
      <c r="G257" s="57">
        <v>42065.0</v>
      </c>
      <c r="H257" s="57">
        <v>57178.0</v>
      </c>
    </row>
    <row r="258">
      <c r="C258" s="65" t="s">
        <v>305</v>
      </c>
      <c r="D258" s="139"/>
      <c r="E258" s="57">
        <v>20820.0</v>
      </c>
      <c r="F258" s="57">
        <v>32440.0</v>
      </c>
      <c r="G258" s="57">
        <v>42065.0</v>
      </c>
      <c r="H258" s="57">
        <v>57178.0</v>
      </c>
    </row>
    <row r="259">
      <c r="C259" s="65" t="s">
        <v>301</v>
      </c>
      <c r="D259" s="139"/>
      <c r="E259" s="57">
        <v>20820.0</v>
      </c>
      <c r="F259" s="57">
        <v>32440.0</v>
      </c>
      <c r="G259" s="57">
        <v>42065.0</v>
      </c>
      <c r="H259" s="57">
        <v>57178.0</v>
      </c>
    </row>
    <row r="260">
      <c r="C260" s="69" t="s">
        <v>326</v>
      </c>
      <c r="D260" s="139"/>
      <c r="E260" s="57">
        <v>18900.0</v>
      </c>
      <c r="F260" s="57">
        <v>23700.0</v>
      </c>
      <c r="G260" s="57">
        <v>35600.0</v>
      </c>
      <c r="H260" s="57">
        <v>42000.0</v>
      </c>
    </row>
    <row r="261">
      <c r="C261" s="69" t="s">
        <v>325</v>
      </c>
      <c r="D261" s="139"/>
      <c r="E261" s="57">
        <v>18900.0</v>
      </c>
      <c r="F261" s="57">
        <v>23700.0</v>
      </c>
      <c r="G261" s="57">
        <v>35600.0</v>
      </c>
      <c r="H261" s="57">
        <v>42000.0</v>
      </c>
    </row>
    <row r="262">
      <c r="C262" s="65" t="s">
        <v>296</v>
      </c>
      <c r="D262" s="139"/>
      <c r="E262" s="57">
        <v>14458.0</v>
      </c>
      <c r="F262" s="57">
        <v>31882.0</v>
      </c>
      <c r="G262" s="57">
        <v>42316.0</v>
      </c>
      <c r="H262" s="57">
        <v>57815.0</v>
      </c>
    </row>
    <row r="263">
      <c r="C263" s="65" t="s">
        <v>298</v>
      </c>
      <c r="D263" s="139"/>
      <c r="E263" s="57">
        <v>13278.0</v>
      </c>
      <c r="F263" s="57">
        <v>38290.0</v>
      </c>
      <c r="G263" s="57">
        <v>42133.0</v>
      </c>
      <c r="H263" s="167">
        <v>54713.0</v>
      </c>
      <c r="I263" s="190"/>
    </row>
    <row r="264">
      <c r="C264" s="65" t="s">
        <v>292</v>
      </c>
      <c r="D264" s="139"/>
      <c r="E264" s="57">
        <v>16506.0</v>
      </c>
      <c r="F264" s="57">
        <v>31310.0</v>
      </c>
      <c r="G264" s="57">
        <v>51966.0</v>
      </c>
      <c r="H264" s="167">
        <v>65533.0</v>
      </c>
      <c r="I264" s="190"/>
    </row>
    <row r="265">
      <c r="C265" s="65" t="s">
        <v>308</v>
      </c>
      <c r="D265" s="139"/>
      <c r="E265" s="57">
        <v>13590.0</v>
      </c>
      <c r="F265" s="57">
        <v>26046.0</v>
      </c>
      <c r="G265" s="57">
        <v>32850.0</v>
      </c>
      <c r="H265" s="167">
        <v>53200.0</v>
      </c>
      <c r="I265" s="190"/>
    </row>
    <row r="266">
      <c r="C266" s="65" t="s">
        <v>321</v>
      </c>
      <c r="D266" s="139"/>
      <c r="E266" s="57">
        <v>11727.0</v>
      </c>
      <c r="F266" s="57">
        <v>25661.0</v>
      </c>
      <c r="G266" s="57">
        <v>32620.0</v>
      </c>
      <c r="H266" s="167">
        <v>41760.0</v>
      </c>
      <c r="I266" s="191"/>
    </row>
    <row r="267">
      <c r="C267" s="65" t="s">
        <v>319</v>
      </c>
      <c r="D267" s="139"/>
      <c r="E267" s="57">
        <v>12260.0</v>
      </c>
      <c r="F267" s="57">
        <v>26950.0</v>
      </c>
      <c r="G267" s="57">
        <v>36570.0</v>
      </c>
      <c r="H267" s="167">
        <v>44090.0</v>
      </c>
      <c r="I267" s="191"/>
    </row>
    <row r="268">
      <c r="C268" s="65" t="s">
        <v>327</v>
      </c>
      <c r="D268" s="139"/>
      <c r="E268" s="57">
        <v>11195.0</v>
      </c>
      <c r="F268" s="57">
        <v>24370.0</v>
      </c>
      <c r="G268" s="57">
        <v>28670.0</v>
      </c>
      <c r="H268" s="167">
        <v>39430.0</v>
      </c>
      <c r="I268" s="191"/>
    </row>
    <row r="269">
      <c r="E269" s="151"/>
      <c r="F269" s="151"/>
      <c r="G269" s="151"/>
      <c r="H269" s="151"/>
    </row>
    <row r="270">
      <c r="E270" s="151"/>
      <c r="F270" s="151"/>
      <c r="G270" s="151"/>
      <c r="H270" s="151"/>
    </row>
    <row r="271">
      <c r="E271" s="151"/>
      <c r="F271" s="151"/>
      <c r="G271" s="151"/>
      <c r="H271" s="151"/>
    </row>
    <row r="272">
      <c r="E272" s="151"/>
      <c r="F272" s="151"/>
      <c r="G272" s="151"/>
      <c r="H272" s="151"/>
    </row>
    <row r="273">
      <c r="E273" s="151"/>
      <c r="F273" s="151"/>
      <c r="G273" s="151"/>
      <c r="H273" s="151"/>
    </row>
  </sheetData>
  <mergeCells count="23">
    <mergeCell ref="G4:G5"/>
    <mergeCell ref="H4:H5"/>
    <mergeCell ref="B1:H2"/>
    <mergeCell ref="B3:B5"/>
    <mergeCell ref="C3:C5"/>
    <mergeCell ref="D3:D5"/>
    <mergeCell ref="E3:H3"/>
    <mergeCell ref="E4:E5"/>
    <mergeCell ref="F4:F5"/>
    <mergeCell ref="C145:C149"/>
    <mergeCell ref="C152:C154"/>
    <mergeCell ref="C157:C174"/>
    <mergeCell ref="C180:C181"/>
    <mergeCell ref="C186:C190"/>
    <mergeCell ref="C193:C197"/>
    <mergeCell ref="C200:C218"/>
    <mergeCell ref="C7:C8"/>
    <mergeCell ref="C11:C12"/>
    <mergeCell ref="C15:C17"/>
    <mergeCell ref="C20:C34"/>
    <mergeCell ref="C37:C45"/>
    <mergeCell ref="C48:C53"/>
    <mergeCell ref="C56:C14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0"/>
    <col customWidth="1" min="3" max="3" width="26.75"/>
    <col customWidth="1" min="4" max="4" width="11.88"/>
    <col customWidth="1" min="5" max="5" width="12.75"/>
    <col customWidth="1" min="6" max="6" width="10.88"/>
    <col customWidth="1" min="7" max="8" width="12.63"/>
  </cols>
  <sheetData>
    <row r="1">
      <c r="A1" s="1"/>
      <c r="B1" s="1" t="s">
        <v>404</v>
      </c>
      <c r="H1" s="1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1"/>
      <c r="H2" s="1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192"/>
      <c r="B3" s="115" t="s">
        <v>389</v>
      </c>
      <c r="C3" s="115" t="s">
        <v>390</v>
      </c>
      <c r="D3" s="116" t="s">
        <v>405</v>
      </c>
      <c r="E3" s="117"/>
      <c r="F3" s="117"/>
      <c r="G3" s="117"/>
      <c r="H3" s="118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192"/>
      <c r="B4" s="47"/>
      <c r="C4" s="47"/>
      <c r="D4" s="119">
        <v>2011.0</v>
      </c>
      <c r="E4" s="119">
        <v>2014.0</v>
      </c>
      <c r="F4" s="119">
        <v>2017.0</v>
      </c>
      <c r="G4" s="119">
        <v>2021.0</v>
      </c>
      <c r="H4" s="119">
        <v>2031.0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>
      <c r="A5" s="192"/>
      <c r="B5" s="50"/>
      <c r="C5" s="50"/>
      <c r="D5" s="50"/>
      <c r="E5" s="50"/>
      <c r="F5" s="50"/>
      <c r="G5" s="50"/>
      <c r="H5" s="50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>
      <c r="A6" s="193"/>
      <c r="B6" s="194" t="s">
        <v>406</v>
      </c>
      <c r="C6" s="18" t="s">
        <v>382</v>
      </c>
      <c r="D6" s="121">
        <v>16158.0</v>
      </c>
      <c r="E6" s="166">
        <v>19071.0</v>
      </c>
      <c r="F6" s="166">
        <v>56826.0</v>
      </c>
      <c r="G6" s="20">
        <v>46138.0</v>
      </c>
      <c r="H6" s="20">
        <v>77857.0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>
      <c r="A7" s="193"/>
      <c r="B7" s="47"/>
      <c r="C7" s="28" t="s">
        <v>378</v>
      </c>
      <c r="D7" s="20">
        <v>17678.0</v>
      </c>
      <c r="E7" s="20">
        <v>13769.0</v>
      </c>
      <c r="F7" s="166">
        <v>44414.0</v>
      </c>
      <c r="G7" s="166">
        <v>60885.0</v>
      </c>
      <c r="H7" s="166">
        <v>62450.0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>
      <c r="A8" s="193"/>
      <c r="B8" s="47"/>
      <c r="C8" s="28" t="s">
        <v>374</v>
      </c>
      <c r="D8" s="20">
        <v>47111.0</v>
      </c>
      <c r="E8" s="20">
        <v>47898.0</v>
      </c>
      <c r="F8" s="20">
        <v>102143.0</v>
      </c>
      <c r="G8" s="166">
        <v>130205.0</v>
      </c>
      <c r="H8" s="20">
        <v>158196.0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>
      <c r="A9" s="193"/>
      <c r="B9" s="47"/>
      <c r="C9" s="28" t="s">
        <v>381</v>
      </c>
      <c r="D9" s="166">
        <v>31712.0</v>
      </c>
      <c r="E9" s="166">
        <v>17861.0</v>
      </c>
      <c r="F9" s="20">
        <v>67333.0</v>
      </c>
      <c r="G9" s="20">
        <v>79682.0</v>
      </c>
      <c r="H9" s="20">
        <v>81183.0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>
      <c r="A10" s="193"/>
      <c r="B10" s="50"/>
      <c r="C10" s="28" t="s">
        <v>376</v>
      </c>
      <c r="D10" s="166">
        <v>15462.0</v>
      </c>
      <c r="E10" s="166">
        <v>6570.0</v>
      </c>
      <c r="F10" s="166">
        <v>25119.0</v>
      </c>
      <c r="G10" s="166">
        <v>53457.0</v>
      </c>
      <c r="H10" s="166">
        <v>53852.0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>
      <c r="A11" s="195"/>
      <c r="B11" s="196"/>
      <c r="C11" s="108"/>
      <c r="D11" s="197"/>
      <c r="E11" s="197"/>
      <c r="F11" s="197"/>
      <c r="G11" s="197"/>
      <c r="H11" s="19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>
      <c r="A12" s="193"/>
      <c r="B12" s="194" t="s">
        <v>407</v>
      </c>
      <c r="C12" s="28" t="s">
        <v>380</v>
      </c>
      <c r="D12" s="166">
        <v>16487.0</v>
      </c>
      <c r="E12" s="166">
        <v>6021.0</v>
      </c>
      <c r="F12" s="166">
        <v>57114.0</v>
      </c>
      <c r="G12" s="166">
        <v>51364.0</v>
      </c>
      <c r="H12" s="166">
        <v>154240.0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>
      <c r="A13" s="193"/>
      <c r="B13" s="47"/>
      <c r="C13" s="28" t="s">
        <v>373</v>
      </c>
      <c r="D13" s="166">
        <v>10598.0</v>
      </c>
      <c r="E13" s="166">
        <v>7473.0</v>
      </c>
      <c r="F13" s="57">
        <v>8328.0</v>
      </c>
      <c r="G13" s="166">
        <v>20814.0</v>
      </c>
      <c r="H13" s="166">
        <v>22417.0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>
      <c r="A14" s="193"/>
      <c r="B14" s="47"/>
      <c r="C14" s="28" t="s">
        <v>374</v>
      </c>
      <c r="D14" s="166">
        <v>50687.0</v>
      </c>
      <c r="E14" s="166">
        <v>47600.0</v>
      </c>
      <c r="F14" s="57">
        <v>134161.0</v>
      </c>
      <c r="G14" s="166">
        <v>85221.0</v>
      </c>
      <c r="H14" s="166">
        <v>149250.0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>
      <c r="A15" s="193"/>
      <c r="B15" s="50"/>
      <c r="C15" s="28" t="s">
        <v>377</v>
      </c>
      <c r="D15" s="166">
        <v>35080.0</v>
      </c>
      <c r="E15" s="20">
        <v>19332.0</v>
      </c>
      <c r="F15" s="57">
        <v>1746.0</v>
      </c>
      <c r="G15" s="20">
        <v>36580.0</v>
      </c>
      <c r="H15" s="20">
        <v>103351.0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>
      <c r="A16" s="195"/>
      <c r="B16" s="196"/>
      <c r="C16" s="108"/>
      <c r="D16" s="197"/>
      <c r="E16" s="197"/>
      <c r="F16" s="197"/>
      <c r="G16" s="197"/>
      <c r="H16" s="19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>
      <c r="A17" s="193"/>
      <c r="B17" s="194" t="s">
        <v>408</v>
      </c>
      <c r="C17" s="28" t="s">
        <v>388</v>
      </c>
      <c r="D17" s="166">
        <v>4770.0</v>
      </c>
      <c r="E17" s="166">
        <v>3516.0</v>
      </c>
      <c r="F17" s="57">
        <v>4508.0</v>
      </c>
      <c r="G17" s="166">
        <v>7819.0</v>
      </c>
      <c r="H17" s="166">
        <v>8948.0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>
      <c r="A18" s="193"/>
      <c r="B18" s="47"/>
      <c r="C18" s="28" t="s">
        <v>385</v>
      </c>
      <c r="D18" s="166">
        <v>11916.0</v>
      </c>
      <c r="E18" s="166">
        <v>7353.0</v>
      </c>
      <c r="F18" s="57">
        <v>14339.0</v>
      </c>
      <c r="G18" s="166">
        <v>20434.0</v>
      </c>
      <c r="H18" s="166">
        <v>22027.0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>
      <c r="A19" s="193"/>
      <c r="B19" s="47"/>
      <c r="C19" s="28" t="s">
        <v>374</v>
      </c>
      <c r="D19" s="166">
        <v>47602.0</v>
      </c>
      <c r="E19" s="166">
        <v>43995.0</v>
      </c>
      <c r="F19" s="57">
        <v>66335.0</v>
      </c>
      <c r="G19" s="166">
        <v>71324.0</v>
      </c>
      <c r="H19" s="166">
        <v>71313.0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>
      <c r="A20" s="193"/>
      <c r="B20" s="47"/>
      <c r="C20" s="18" t="s">
        <v>386</v>
      </c>
      <c r="D20" s="166">
        <v>7035.0</v>
      </c>
      <c r="E20" s="166">
        <v>3449.0</v>
      </c>
      <c r="F20" s="57">
        <v>9680.0</v>
      </c>
      <c r="G20" s="166">
        <v>12535.0</v>
      </c>
      <c r="H20" s="166">
        <v>12534.0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>
      <c r="A21" s="193"/>
      <c r="B21" s="50"/>
      <c r="C21" s="28" t="s">
        <v>387</v>
      </c>
      <c r="D21" s="166">
        <v>6061.0</v>
      </c>
      <c r="E21" s="166">
        <v>6403.0</v>
      </c>
      <c r="F21" s="166">
        <v>7500.0</v>
      </c>
      <c r="G21" s="166">
        <v>21503.0</v>
      </c>
      <c r="H21" s="166">
        <v>21527.0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>
      <c r="A22" s="198"/>
      <c r="B22" s="199"/>
      <c r="C22" s="108"/>
      <c r="D22" s="197"/>
      <c r="E22" s="197"/>
      <c r="F22" s="197"/>
      <c r="G22" s="197"/>
      <c r="H22" s="197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>
      <c r="A23" s="193"/>
      <c r="B23" s="194" t="s">
        <v>409</v>
      </c>
      <c r="C23" s="28" t="s">
        <v>375</v>
      </c>
      <c r="D23" s="166">
        <v>3167.0</v>
      </c>
      <c r="E23" s="20">
        <v>3175.0</v>
      </c>
      <c r="F23" s="57">
        <v>8884.0</v>
      </c>
      <c r="G23" s="20">
        <v>12313.0</v>
      </c>
      <c r="H23" s="20">
        <v>12273.0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>
      <c r="A24" s="193"/>
      <c r="B24" s="47"/>
      <c r="C24" s="28" t="s">
        <v>379</v>
      </c>
      <c r="D24" s="166">
        <v>26783.0</v>
      </c>
      <c r="E24" s="20">
        <v>25938.0</v>
      </c>
      <c r="F24" s="57">
        <v>110941.0</v>
      </c>
      <c r="G24" s="20">
        <v>93998.0</v>
      </c>
      <c r="H24" s="20">
        <v>94696.0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>
      <c r="A25" s="193"/>
      <c r="B25" s="47"/>
      <c r="C25" s="28" t="s">
        <v>384</v>
      </c>
      <c r="D25" s="166">
        <v>10286.0</v>
      </c>
      <c r="E25" s="166">
        <v>8305.0</v>
      </c>
      <c r="F25" s="57">
        <v>28050.0</v>
      </c>
      <c r="G25" s="166">
        <v>17331.0</v>
      </c>
      <c r="H25" s="166">
        <v>17374.0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>
      <c r="A26" s="193"/>
      <c r="B26" s="47"/>
      <c r="C26" s="28" t="s">
        <v>383</v>
      </c>
      <c r="D26" s="166">
        <v>4808.0</v>
      </c>
      <c r="E26" s="166">
        <v>4127.0</v>
      </c>
      <c r="F26" s="57">
        <v>6365.0</v>
      </c>
      <c r="G26" s="166">
        <v>18578.0</v>
      </c>
      <c r="H26" s="166">
        <v>18600.0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>
      <c r="A27" s="193"/>
      <c r="B27" s="50"/>
      <c r="C27" s="28" t="s">
        <v>374</v>
      </c>
      <c r="D27" s="166">
        <v>58130.0</v>
      </c>
      <c r="E27" s="166">
        <v>50754.0</v>
      </c>
      <c r="F27" s="166">
        <v>95775.0</v>
      </c>
      <c r="G27" s="20">
        <v>82963.0</v>
      </c>
      <c r="H27" s="166">
        <v>83033.0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>
      <c r="A28" s="8"/>
      <c r="B28" s="8"/>
      <c r="C28" s="8"/>
      <c r="D28" s="42"/>
      <c r="E28" s="42"/>
      <c r="F28" s="42"/>
      <c r="G28" s="42"/>
      <c r="H28" s="42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>
      <c r="A29" s="8"/>
      <c r="B29" s="8"/>
      <c r="C29" s="8"/>
      <c r="D29" s="42"/>
      <c r="E29" s="42"/>
      <c r="F29" s="42"/>
      <c r="G29" s="42"/>
      <c r="H29" s="42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>
      <c r="A30" s="8"/>
      <c r="B30" s="8"/>
      <c r="C30" s="8"/>
      <c r="D30" s="42"/>
      <c r="E30" s="42"/>
      <c r="F30" s="42"/>
      <c r="G30" s="42"/>
      <c r="H30" s="42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>
      <c r="A31" s="8"/>
      <c r="B31" s="8"/>
      <c r="C31" s="8"/>
      <c r="D31" s="42"/>
      <c r="E31" s="42"/>
      <c r="F31" s="42"/>
      <c r="G31" s="42"/>
      <c r="H31" s="42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>
      <c r="A32" s="8"/>
      <c r="B32" s="8"/>
      <c r="C32" s="8"/>
      <c r="D32" s="42"/>
      <c r="E32" s="42"/>
      <c r="F32" s="42"/>
      <c r="G32" s="42"/>
      <c r="H32" s="42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>
      <c r="A33" s="8"/>
      <c r="B33" s="8"/>
      <c r="C33" s="8"/>
      <c r="D33" s="42"/>
      <c r="E33" s="42"/>
      <c r="F33" s="42"/>
      <c r="G33" s="42"/>
      <c r="H33" s="42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>
      <c r="A34" s="8"/>
      <c r="B34" s="8"/>
      <c r="C34" s="8"/>
      <c r="D34" s="42"/>
      <c r="E34" s="42"/>
      <c r="F34" s="42"/>
      <c r="G34" s="42"/>
      <c r="H34" s="42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>
      <c r="A35" s="8"/>
      <c r="B35" s="8"/>
      <c r="C35" s="8"/>
      <c r="D35" s="42"/>
      <c r="E35" s="42"/>
      <c r="F35" s="42"/>
      <c r="G35" s="42"/>
      <c r="H35" s="42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>
      <c r="A36" s="8"/>
      <c r="B36" s="8"/>
      <c r="C36" s="8"/>
      <c r="D36" s="42"/>
      <c r="E36" s="42"/>
      <c r="F36" s="42"/>
      <c r="G36" s="42"/>
      <c r="H36" s="42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>
      <c r="A37" s="8"/>
      <c r="B37" s="8"/>
      <c r="C37" s="8"/>
      <c r="D37" s="42"/>
      <c r="E37" s="42"/>
      <c r="F37" s="42"/>
      <c r="G37" s="42"/>
      <c r="H37" s="42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>
      <c r="A38" s="8"/>
      <c r="B38" s="8"/>
      <c r="C38" s="8"/>
      <c r="D38" s="42"/>
      <c r="E38" s="42"/>
      <c r="F38" s="42"/>
      <c r="G38" s="42"/>
      <c r="H38" s="42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>
      <c r="A39" s="8"/>
      <c r="B39" s="8"/>
      <c r="C39" s="8"/>
      <c r="D39" s="42"/>
      <c r="E39" s="42"/>
      <c r="F39" s="42"/>
      <c r="G39" s="42"/>
      <c r="H39" s="42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>
      <c r="A40" s="8"/>
      <c r="B40" s="8"/>
      <c r="C40" s="8"/>
      <c r="D40" s="42"/>
      <c r="E40" s="42"/>
      <c r="F40" s="42"/>
      <c r="G40" s="42"/>
      <c r="H40" s="42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>
      <c r="A41" s="8"/>
      <c r="B41" s="8"/>
      <c r="C41" s="8"/>
      <c r="D41" s="42"/>
      <c r="E41" s="42"/>
      <c r="F41" s="42"/>
      <c r="G41" s="42"/>
      <c r="H41" s="42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>
      <c r="A42" s="8"/>
      <c r="B42" s="8"/>
      <c r="C42" s="8"/>
      <c r="D42" s="42"/>
      <c r="E42" s="42"/>
      <c r="F42" s="42"/>
      <c r="G42" s="42"/>
      <c r="H42" s="42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>
      <c r="A43" s="8"/>
      <c r="B43" s="8"/>
      <c r="C43" s="8"/>
      <c r="D43" s="42"/>
      <c r="E43" s="42"/>
      <c r="F43" s="42"/>
      <c r="G43" s="42"/>
      <c r="H43" s="42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>
      <c r="A44" s="8"/>
      <c r="B44" s="8"/>
      <c r="C44" s="8"/>
      <c r="D44" s="42"/>
      <c r="E44" s="42"/>
      <c r="F44" s="42"/>
      <c r="G44" s="42"/>
      <c r="H44" s="42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>
      <c r="A45" s="8"/>
      <c r="B45" s="8"/>
      <c r="C45" s="8"/>
      <c r="D45" s="42"/>
      <c r="E45" s="42"/>
      <c r="F45" s="42"/>
      <c r="G45" s="42"/>
      <c r="H45" s="42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>
      <c r="A46" s="8"/>
      <c r="B46" s="8"/>
      <c r="C46" s="8"/>
      <c r="D46" s="42"/>
      <c r="E46" s="42"/>
      <c r="F46" s="42"/>
      <c r="G46" s="42"/>
      <c r="H46" s="42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>
      <c r="A47" s="8"/>
      <c r="B47" s="8"/>
      <c r="C47" s="8"/>
      <c r="D47" s="42"/>
      <c r="E47" s="42"/>
      <c r="F47" s="42"/>
      <c r="G47" s="42"/>
      <c r="H47" s="42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>
      <c r="A48" s="8"/>
      <c r="B48" s="8"/>
      <c r="C48" s="8"/>
      <c r="D48" s="42"/>
      <c r="E48" s="42"/>
      <c r="F48" s="42"/>
      <c r="G48" s="42"/>
      <c r="H48" s="42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>
      <c r="A49" s="8"/>
      <c r="B49" s="8"/>
      <c r="C49" s="8"/>
      <c r="D49" s="42"/>
      <c r="E49" s="42"/>
      <c r="F49" s="42"/>
      <c r="G49" s="42"/>
      <c r="H49" s="42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>
      <c r="A50" s="8"/>
      <c r="B50" s="8"/>
      <c r="C50" s="8"/>
      <c r="D50" s="42"/>
      <c r="E50" s="42"/>
      <c r="F50" s="42"/>
      <c r="G50" s="42"/>
      <c r="H50" s="42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>
      <c r="A51" s="8"/>
      <c r="B51" s="8"/>
      <c r="C51" s="8"/>
      <c r="D51" s="42"/>
      <c r="E51" s="42"/>
      <c r="F51" s="42"/>
      <c r="G51" s="42"/>
      <c r="H51" s="42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>
      <c r="A52" s="8"/>
      <c r="B52" s="8"/>
      <c r="C52" s="8"/>
      <c r="D52" s="42"/>
      <c r="E52" s="42"/>
      <c r="F52" s="42"/>
      <c r="G52" s="42"/>
      <c r="H52" s="42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>
      <c r="A53" s="8"/>
      <c r="B53" s="8"/>
      <c r="C53" s="8"/>
      <c r="D53" s="42"/>
      <c r="E53" s="42"/>
      <c r="F53" s="42"/>
      <c r="G53" s="42"/>
      <c r="H53" s="42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>
      <c r="A54" s="8"/>
      <c r="B54" s="8"/>
      <c r="C54" s="8"/>
      <c r="D54" s="42"/>
      <c r="E54" s="42"/>
      <c r="F54" s="42"/>
      <c r="G54" s="42"/>
      <c r="H54" s="42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>
      <c r="A55" s="8"/>
      <c r="B55" s="8"/>
      <c r="C55" s="8"/>
      <c r="D55" s="42"/>
      <c r="E55" s="42"/>
      <c r="F55" s="42"/>
      <c r="G55" s="42"/>
      <c r="H55" s="42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>
      <c r="A56" s="8"/>
      <c r="B56" s="8"/>
      <c r="C56" s="8"/>
      <c r="D56" s="42"/>
      <c r="E56" s="42"/>
      <c r="F56" s="42"/>
      <c r="G56" s="42"/>
      <c r="H56" s="42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>
      <c r="A57" s="8"/>
      <c r="B57" s="8"/>
      <c r="C57" s="8"/>
      <c r="D57" s="42"/>
      <c r="E57" s="42"/>
      <c r="F57" s="42"/>
      <c r="G57" s="42"/>
      <c r="H57" s="42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>
      <c r="A58" s="8"/>
      <c r="B58" s="8"/>
      <c r="C58" s="8"/>
      <c r="D58" s="42"/>
      <c r="E58" s="42"/>
      <c r="F58" s="42"/>
      <c r="G58" s="42"/>
      <c r="H58" s="42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>
      <c r="A59" s="8"/>
      <c r="B59" s="8"/>
      <c r="C59" s="8"/>
      <c r="D59" s="42"/>
      <c r="E59" s="42"/>
      <c r="F59" s="42"/>
      <c r="G59" s="42"/>
      <c r="H59" s="42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>
      <c r="A60" s="8"/>
      <c r="B60" s="8"/>
      <c r="C60" s="8"/>
      <c r="D60" s="42"/>
      <c r="E60" s="42"/>
      <c r="F60" s="42"/>
      <c r="G60" s="42"/>
      <c r="H60" s="42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>
      <c r="A61" s="8"/>
      <c r="B61" s="8"/>
      <c r="C61" s="8"/>
      <c r="D61" s="42"/>
      <c r="E61" s="42"/>
      <c r="F61" s="42"/>
      <c r="G61" s="42"/>
      <c r="H61" s="42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>
      <c r="A62" s="8"/>
      <c r="B62" s="8"/>
      <c r="C62" s="8"/>
      <c r="D62" s="42"/>
      <c r="E62" s="42"/>
      <c r="F62" s="42"/>
      <c r="G62" s="42"/>
      <c r="H62" s="42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>
      <c r="A63" s="8"/>
      <c r="B63" s="8"/>
      <c r="C63" s="8"/>
      <c r="D63" s="42"/>
      <c r="E63" s="42"/>
      <c r="F63" s="42"/>
      <c r="G63" s="42"/>
      <c r="H63" s="42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>
      <c r="A64" s="8"/>
      <c r="B64" s="8"/>
      <c r="C64" s="8"/>
      <c r="D64" s="42"/>
      <c r="E64" s="42"/>
      <c r="F64" s="42"/>
      <c r="G64" s="42"/>
      <c r="H64" s="42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>
      <c r="A65" s="8"/>
      <c r="B65" s="8"/>
      <c r="C65" s="8"/>
      <c r="D65" s="42"/>
      <c r="E65" s="42"/>
      <c r="F65" s="42"/>
      <c r="G65" s="42"/>
      <c r="H65" s="42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>
      <c r="A66" s="8"/>
      <c r="B66" s="8"/>
      <c r="C66" s="8"/>
      <c r="D66" s="42"/>
      <c r="E66" s="42"/>
      <c r="F66" s="42"/>
      <c r="G66" s="42"/>
      <c r="H66" s="42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>
      <c r="A67" s="8"/>
      <c r="B67" s="8"/>
      <c r="C67" s="8"/>
      <c r="D67" s="42"/>
      <c r="E67" s="42"/>
      <c r="F67" s="42"/>
      <c r="G67" s="42"/>
      <c r="H67" s="42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>
      <c r="A68" s="8"/>
      <c r="B68" s="8"/>
      <c r="C68" s="8"/>
      <c r="D68" s="42"/>
      <c r="E68" s="42"/>
      <c r="F68" s="42"/>
      <c r="G68" s="42"/>
      <c r="H68" s="42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>
      <c r="A69" s="8"/>
      <c r="B69" s="8"/>
      <c r="C69" s="8"/>
      <c r="D69" s="42"/>
      <c r="E69" s="42"/>
      <c r="F69" s="42"/>
      <c r="G69" s="42"/>
      <c r="H69" s="42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>
      <c r="A70" s="8"/>
      <c r="B70" s="8"/>
      <c r="C70" s="8"/>
      <c r="D70" s="42"/>
      <c r="E70" s="42"/>
      <c r="F70" s="42"/>
      <c r="G70" s="42"/>
      <c r="H70" s="42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>
      <c r="A71" s="8"/>
      <c r="B71" s="8"/>
      <c r="C71" s="8"/>
      <c r="D71" s="42"/>
      <c r="E71" s="42"/>
      <c r="F71" s="42"/>
      <c r="G71" s="42"/>
      <c r="H71" s="42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>
      <c r="A72" s="8"/>
      <c r="B72" s="8"/>
      <c r="C72" s="8"/>
      <c r="D72" s="42"/>
      <c r="E72" s="42"/>
      <c r="F72" s="42"/>
      <c r="G72" s="42"/>
      <c r="H72" s="42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>
      <c r="A73" s="8"/>
      <c r="B73" s="8"/>
      <c r="C73" s="8"/>
      <c r="D73" s="42"/>
      <c r="E73" s="42"/>
      <c r="F73" s="42"/>
      <c r="G73" s="42"/>
      <c r="H73" s="42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>
      <c r="A74" s="8"/>
      <c r="B74" s="8"/>
      <c r="C74" s="8"/>
      <c r="D74" s="42"/>
      <c r="E74" s="42"/>
      <c r="F74" s="42"/>
      <c r="G74" s="42"/>
      <c r="H74" s="42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>
      <c r="A75" s="8"/>
      <c r="B75" s="8"/>
      <c r="C75" s="8"/>
      <c r="D75" s="42"/>
      <c r="E75" s="42"/>
      <c r="F75" s="42"/>
      <c r="G75" s="42"/>
      <c r="H75" s="42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>
      <c r="A76" s="8"/>
      <c r="B76" s="8"/>
      <c r="C76" s="8"/>
      <c r="D76" s="42"/>
      <c r="E76" s="42"/>
      <c r="F76" s="42"/>
      <c r="G76" s="42"/>
      <c r="H76" s="42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>
      <c r="A77" s="8"/>
      <c r="B77" s="8"/>
      <c r="C77" s="8"/>
      <c r="D77" s="42"/>
      <c r="E77" s="42"/>
      <c r="F77" s="42"/>
      <c r="G77" s="42"/>
      <c r="H77" s="42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>
      <c r="A78" s="8"/>
      <c r="B78" s="8"/>
      <c r="C78" s="8"/>
      <c r="D78" s="42"/>
      <c r="E78" s="42"/>
      <c r="F78" s="42"/>
      <c r="G78" s="42"/>
      <c r="H78" s="42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>
      <c r="A79" s="8"/>
      <c r="B79" s="8"/>
      <c r="C79" s="8"/>
      <c r="D79" s="42"/>
      <c r="E79" s="42"/>
      <c r="F79" s="42"/>
      <c r="G79" s="42"/>
      <c r="H79" s="42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>
      <c r="A80" s="8"/>
      <c r="B80" s="8"/>
      <c r="C80" s="8"/>
      <c r="D80" s="42"/>
      <c r="E80" s="42"/>
      <c r="F80" s="42"/>
      <c r="G80" s="42"/>
      <c r="H80" s="42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>
      <c r="A81" s="8"/>
      <c r="B81" s="8"/>
      <c r="C81" s="8"/>
      <c r="D81" s="42"/>
      <c r="E81" s="42"/>
      <c r="F81" s="42"/>
      <c r="G81" s="42"/>
      <c r="H81" s="42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>
      <c r="A82" s="8"/>
      <c r="B82" s="8"/>
      <c r="C82" s="8"/>
      <c r="D82" s="42"/>
      <c r="E82" s="42"/>
      <c r="F82" s="42"/>
      <c r="G82" s="42"/>
      <c r="H82" s="42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>
      <c r="A83" s="8"/>
      <c r="B83" s="8"/>
      <c r="C83" s="8"/>
      <c r="D83" s="42"/>
      <c r="E83" s="42"/>
      <c r="F83" s="42"/>
      <c r="G83" s="42"/>
      <c r="H83" s="42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>
      <c r="A84" s="8"/>
      <c r="B84" s="8"/>
      <c r="C84" s="8"/>
      <c r="D84" s="42"/>
      <c r="E84" s="42"/>
      <c r="F84" s="42"/>
      <c r="G84" s="42"/>
      <c r="H84" s="42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>
      <c r="A85" s="8"/>
      <c r="B85" s="8"/>
      <c r="C85" s="8"/>
      <c r="D85" s="42"/>
      <c r="E85" s="42"/>
      <c r="F85" s="42"/>
      <c r="G85" s="42"/>
      <c r="H85" s="42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>
      <c r="A86" s="8"/>
      <c r="B86" s="8"/>
      <c r="C86" s="8"/>
      <c r="D86" s="42"/>
      <c r="E86" s="42"/>
      <c r="F86" s="42"/>
      <c r="G86" s="42"/>
      <c r="H86" s="42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>
      <c r="A87" s="8"/>
      <c r="B87" s="8"/>
      <c r="C87" s="8"/>
      <c r="D87" s="42"/>
      <c r="E87" s="42"/>
      <c r="F87" s="42"/>
      <c r="G87" s="42"/>
      <c r="H87" s="42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>
      <c r="A88" s="8"/>
      <c r="B88" s="8"/>
      <c r="C88" s="8"/>
      <c r="D88" s="42"/>
      <c r="E88" s="42"/>
      <c r="F88" s="42"/>
      <c r="G88" s="42"/>
      <c r="H88" s="42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>
      <c r="A89" s="8"/>
      <c r="B89" s="8"/>
      <c r="C89" s="8"/>
      <c r="D89" s="42"/>
      <c r="E89" s="42"/>
      <c r="F89" s="42"/>
      <c r="G89" s="42"/>
      <c r="H89" s="42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>
      <c r="A90" s="8"/>
      <c r="B90" s="8"/>
      <c r="C90" s="8"/>
      <c r="D90" s="42"/>
      <c r="E90" s="42"/>
      <c r="F90" s="42"/>
      <c r="G90" s="42"/>
      <c r="H90" s="42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>
      <c r="A91" s="8"/>
      <c r="B91" s="8"/>
      <c r="C91" s="8"/>
      <c r="D91" s="42"/>
      <c r="E91" s="42"/>
      <c r="F91" s="42"/>
      <c r="G91" s="42"/>
      <c r="H91" s="42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>
      <c r="A92" s="8"/>
      <c r="B92" s="8"/>
      <c r="C92" s="8"/>
      <c r="D92" s="42"/>
      <c r="E92" s="42"/>
      <c r="F92" s="42"/>
      <c r="G92" s="42"/>
      <c r="H92" s="42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</row>
    <row r="93">
      <c r="A93" s="8"/>
      <c r="B93" s="8"/>
      <c r="C93" s="8"/>
      <c r="D93" s="42"/>
      <c r="E93" s="42"/>
      <c r="F93" s="42"/>
      <c r="G93" s="42"/>
      <c r="H93" s="42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</row>
    <row r="94">
      <c r="A94" s="8"/>
      <c r="B94" s="8"/>
      <c r="C94" s="8"/>
      <c r="D94" s="42"/>
      <c r="E94" s="42"/>
      <c r="F94" s="42"/>
      <c r="G94" s="42"/>
      <c r="H94" s="42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</row>
    <row r="95">
      <c r="A95" s="8"/>
      <c r="B95" s="8"/>
      <c r="C95" s="8"/>
      <c r="D95" s="42"/>
      <c r="E95" s="42"/>
      <c r="F95" s="42"/>
      <c r="G95" s="42"/>
      <c r="H95" s="42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</row>
    <row r="96">
      <c r="A96" s="8"/>
      <c r="B96" s="8"/>
      <c r="C96" s="8"/>
      <c r="D96" s="42"/>
      <c r="E96" s="42"/>
      <c r="F96" s="42"/>
      <c r="G96" s="42"/>
      <c r="H96" s="42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</row>
    <row r="97">
      <c r="A97" s="8"/>
      <c r="B97" s="8"/>
      <c r="C97" s="8"/>
      <c r="D97" s="42"/>
      <c r="E97" s="42"/>
      <c r="F97" s="42"/>
      <c r="G97" s="42"/>
      <c r="H97" s="42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</row>
    <row r="98">
      <c r="A98" s="8"/>
      <c r="B98" s="8"/>
      <c r="C98" s="8"/>
      <c r="D98" s="42"/>
      <c r="E98" s="42"/>
      <c r="F98" s="42"/>
      <c r="G98" s="42"/>
      <c r="H98" s="42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>
      <c r="A99" s="8"/>
      <c r="B99" s="8"/>
      <c r="C99" s="8"/>
      <c r="D99" s="42"/>
      <c r="E99" s="42"/>
      <c r="F99" s="42"/>
      <c r="G99" s="42"/>
      <c r="H99" s="42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>
      <c r="A100" s="8"/>
      <c r="B100" s="8"/>
      <c r="C100" s="8"/>
      <c r="D100" s="42"/>
      <c r="E100" s="42"/>
      <c r="F100" s="42"/>
      <c r="G100" s="42"/>
      <c r="H100" s="42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>
      <c r="A101" s="8"/>
      <c r="B101" s="8"/>
      <c r="C101" s="8"/>
      <c r="D101" s="42"/>
      <c r="E101" s="42"/>
      <c r="F101" s="42"/>
      <c r="G101" s="42"/>
      <c r="H101" s="42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>
      <c r="A102" s="8"/>
      <c r="B102" s="8"/>
      <c r="C102" s="8"/>
      <c r="D102" s="42"/>
      <c r="E102" s="42"/>
      <c r="F102" s="42"/>
      <c r="G102" s="42"/>
      <c r="H102" s="42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>
      <c r="A103" s="8"/>
      <c r="B103" s="8"/>
      <c r="C103" s="8"/>
      <c r="D103" s="42"/>
      <c r="E103" s="42"/>
      <c r="F103" s="42"/>
      <c r="G103" s="42"/>
      <c r="H103" s="42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</row>
    <row r="104">
      <c r="A104" s="8"/>
      <c r="B104" s="8"/>
      <c r="C104" s="8"/>
      <c r="D104" s="42"/>
      <c r="E104" s="42"/>
      <c r="F104" s="42"/>
      <c r="G104" s="42"/>
      <c r="H104" s="42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r="105">
      <c r="A105" s="8"/>
      <c r="B105" s="8"/>
      <c r="C105" s="8"/>
      <c r="D105" s="42"/>
      <c r="E105" s="42"/>
      <c r="F105" s="42"/>
      <c r="G105" s="42"/>
      <c r="H105" s="42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r="106">
      <c r="A106" s="8"/>
      <c r="B106" s="8"/>
      <c r="C106" s="8"/>
      <c r="D106" s="42"/>
      <c r="E106" s="42"/>
      <c r="F106" s="42"/>
      <c r="G106" s="42"/>
      <c r="H106" s="42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>
      <c r="A107" s="8"/>
      <c r="B107" s="8"/>
      <c r="C107" s="8"/>
      <c r="D107" s="42"/>
      <c r="E107" s="42"/>
      <c r="F107" s="42"/>
      <c r="G107" s="42"/>
      <c r="H107" s="42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>
      <c r="A108" s="8"/>
      <c r="B108" s="8"/>
      <c r="C108" s="8"/>
      <c r="D108" s="42"/>
      <c r="E108" s="42"/>
      <c r="F108" s="42"/>
      <c r="G108" s="42"/>
      <c r="H108" s="42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>
      <c r="A109" s="8"/>
      <c r="B109" s="8"/>
      <c r="C109" s="8"/>
      <c r="D109" s="42"/>
      <c r="E109" s="42"/>
      <c r="F109" s="42"/>
      <c r="G109" s="42"/>
      <c r="H109" s="42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>
      <c r="A110" s="8"/>
      <c r="B110" s="8"/>
      <c r="C110" s="8"/>
      <c r="D110" s="42"/>
      <c r="E110" s="42"/>
      <c r="F110" s="42"/>
      <c r="G110" s="42"/>
      <c r="H110" s="42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>
      <c r="A111" s="8"/>
      <c r="B111" s="8"/>
      <c r="C111" s="8"/>
      <c r="D111" s="42"/>
      <c r="E111" s="42"/>
      <c r="F111" s="42"/>
      <c r="G111" s="42"/>
      <c r="H111" s="42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>
      <c r="A112" s="8"/>
      <c r="B112" s="8"/>
      <c r="C112" s="8"/>
      <c r="D112" s="42"/>
      <c r="E112" s="42"/>
      <c r="F112" s="42"/>
      <c r="G112" s="42"/>
      <c r="H112" s="42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>
      <c r="A113" s="8"/>
      <c r="B113" s="8"/>
      <c r="C113" s="8"/>
      <c r="D113" s="42"/>
      <c r="E113" s="42"/>
      <c r="F113" s="42"/>
      <c r="G113" s="42"/>
      <c r="H113" s="42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</row>
    <row r="114">
      <c r="A114" s="8"/>
      <c r="B114" s="8"/>
      <c r="C114" s="8"/>
      <c r="D114" s="42"/>
      <c r="E114" s="42"/>
      <c r="F114" s="42"/>
      <c r="G114" s="42"/>
      <c r="H114" s="42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>
      <c r="A115" s="8"/>
      <c r="B115" s="8"/>
      <c r="C115" s="8"/>
      <c r="D115" s="42"/>
      <c r="E115" s="42"/>
      <c r="F115" s="42"/>
      <c r="G115" s="42"/>
      <c r="H115" s="42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r="116">
      <c r="A116" s="8"/>
      <c r="B116" s="8"/>
      <c r="C116" s="8"/>
      <c r="D116" s="42"/>
      <c r="E116" s="42"/>
      <c r="F116" s="42"/>
      <c r="G116" s="42"/>
      <c r="H116" s="42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r="117">
      <c r="A117" s="8"/>
      <c r="B117" s="8"/>
      <c r="C117" s="8"/>
      <c r="D117" s="42"/>
      <c r="E117" s="42"/>
      <c r="F117" s="42"/>
      <c r="G117" s="42"/>
      <c r="H117" s="42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>
      <c r="A118" s="8"/>
      <c r="B118" s="8"/>
      <c r="C118" s="8"/>
      <c r="D118" s="42"/>
      <c r="E118" s="42"/>
      <c r="F118" s="42"/>
      <c r="G118" s="42"/>
      <c r="H118" s="42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19">
      <c r="A119" s="8"/>
      <c r="B119" s="8"/>
      <c r="C119" s="8"/>
      <c r="D119" s="42"/>
      <c r="E119" s="42"/>
      <c r="F119" s="42"/>
      <c r="G119" s="42"/>
      <c r="H119" s="42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r="120">
      <c r="A120" s="8"/>
      <c r="B120" s="8"/>
      <c r="C120" s="8"/>
      <c r="D120" s="42"/>
      <c r="E120" s="42"/>
      <c r="F120" s="42"/>
      <c r="G120" s="42"/>
      <c r="H120" s="42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r="121">
      <c r="A121" s="8"/>
      <c r="B121" s="8"/>
      <c r="C121" s="8"/>
      <c r="D121" s="42"/>
      <c r="E121" s="42"/>
      <c r="F121" s="42"/>
      <c r="G121" s="42"/>
      <c r="H121" s="42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2">
      <c r="A122" s="8"/>
      <c r="B122" s="8"/>
      <c r="C122" s="8"/>
      <c r="D122" s="42"/>
      <c r="E122" s="42"/>
      <c r="F122" s="42"/>
      <c r="G122" s="42"/>
      <c r="H122" s="42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>
      <c r="A123" s="8"/>
      <c r="B123" s="8"/>
      <c r="C123" s="8"/>
      <c r="D123" s="42"/>
      <c r="E123" s="42"/>
      <c r="F123" s="42"/>
      <c r="G123" s="42"/>
      <c r="H123" s="42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>
      <c r="A124" s="8"/>
      <c r="B124" s="8"/>
      <c r="C124" s="8"/>
      <c r="D124" s="42"/>
      <c r="E124" s="42"/>
      <c r="F124" s="42"/>
      <c r="G124" s="42"/>
      <c r="H124" s="42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5">
      <c r="A125" s="8"/>
      <c r="B125" s="8"/>
      <c r="C125" s="8"/>
      <c r="D125" s="42"/>
      <c r="E125" s="42"/>
      <c r="F125" s="42"/>
      <c r="G125" s="42"/>
      <c r="H125" s="42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r="126">
      <c r="A126" s="8"/>
      <c r="B126" s="8"/>
      <c r="C126" s="8"/>
      <c r="D126" s="42"/>
      <c r="E126" s="42"/>
      <c r="F126" s="42"/>
      <c r="G126" s="42"/>
      <c r="H126" s="42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>
      <c r="A127" s="8"/>
      <c r="B127" s="8"/>
      <c r="C127" s="8"/>
      <c r="D127" s="42"/>
      <c r="E127" s="42"/>
      <c r="F127" s="42"/>
      <c r="G127" s="42"/>
      <c r="H127" s="42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28">
      <c r="A128" s="8"/>
      <c r="B128" s="8"/>
      <c r="C128" s="8"/>
      <c r="D128" s="42"/>
      <c r="E128" s="42"/>
      <c r="F128" s="42"/>
      <c r="G128" s="42"/>
      <c r="H128" s="42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</row>
    <row r="129">
      <c r="A129" s="8"/>
      <c r="B129" s="8"/>
      <c r="C129" s="8"/>
      <c r="D129" s="42"/>
      <c r="E129" s="42"/>
      <c r="F129" s="42"/>
      <c r="G129" s="42"/>
      <c r="H129" s="42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>
      <c r="A130" s="8"/>
      <c r="B130" s="8"/>
      <c r="C130" s="8"/>
      <c r="D130" s="42"/>
      <c r="E130" s="42"/>
      <c r="F130" s="42"/>
      <c r="G130" s="42"/>
      <c r="H130" s="42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>
      <c r="A131" s="8"/>
      <c r="B131" s="8"/>
      <c r="C131" s="8"/>
      <c r="D131" s="42"/>
      <c r="E131" s="42"/>
      <c r="F131" s="42"/>
      <c r="G131" s="42"/>
      <c r="H131" s="42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</row>
    <row r="132">
      <c r="A132" s="8"/>
      <c r="B132" s="8"/>
      <c r="C132" s="8"/>
      <c r="D132" s="42"/>
      <c r="E132" s="42"/>
      <c r="F132" s="42"/>
      <c r="G132" s="42"/>
      <c r="H132" s="42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r="133">
      <c r="A133" s="8"/>
      <c r="B133" s="8"/>
      <c r="C133" s="8"/>
      <c r="D133" s="42"/>
      <c r="E133" s="42"/>
      <c r="F133" s="42"/>
      <c r="G133" s="42"/>
      <c r="H133" s="42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>
      <c r="A134" s="8"/>
      <c r="B134" s="8"/>
      <c r="C134" s="8"/>
      <c r="D134" s="42"/>
      <c r="E134" s="42"/>
      <c r="F134" s="42"/>
      <c r="G134" s="42"/>
      <c r="H134" s="42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>
      <c r="A135" s="8"/>
      <c r="B135" s="8"/>
      <c r="C135" s="8"/>
      <c r="D135" s="42"/>
      <c r="E135" s="42"/>
      <c r="F135" s="42"/>
      <c r="G135" s="42"/>
      <c r="H135" s="42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>
      <c r="A136" s="8"/>
      <c r="B136" s="8"/>
      <c r="C136" s="8"/>
      <c r="D136" s="42"/>
      <c r="E136" s="42"/>
      <c r="F136" s="42"/>
      <c r="G136" s="42"/>
      <c r="H136" s="42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>
      <c r="A137" s="8"/>
      <c r="B137" s="8"/>
      <c r="C137" s="8"/>
      <c r="D137" s="42"/>
      <c r="E137" s="42"/>
      <c r="F137" s="42"/>
      <c r="G137" s="42"/>
      <c r="H137" s="42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>
      <c r="A138" s="8"/>
      <c r="B138" s="8"/>
      <c r="C138" s="8"/>
      <c r="D138" s="42"/>
      <c r="E138" s="42"/>
      <c r="F138" s="42"/>
      <c r="G138" s="42"/>
      <c r="H138" s="42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>
      <c r="A139" s="8"/>
      <c r="B139" s="8"/>
      <c r="C139" s="8"/>
      <c r="D139" s="42"/>
      <c r="E139" s="42"/>
      <c r="F139" s="42"/>
      <c r="G139" s="42"/>
      <c r="H139" s="42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>
      <c r="A140" s="8"/>
      <c r="B140" s="8"/>
      <c r="C140" s="8"/>
      <c r="D140" s="42"/>
      <c r="E140" s="42"/>
      <c r="F140" s="42"/>
      <c r="G140" s="42"/>
      <c r="H140" s="42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>
      <c r="A141" s="8"/>
      <c r="B141" s="8"/>
      <c r="C141" s="8"/>
      <c r="D141" s="42"/>
      <c r="E141" s="42"/>
      <c r="F141" s="42"/>
      <c r="G141" s="42"/>
      <c r="H141" s="42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>
      <c r="A142" s="8"/>
      <c r="B142" s="8"/>
      <c r="C142" s="8"/>
      <c r="D142" s="42"/>
      <c r="E142" s="42"/>
      <c r="F142" s="42"/>
      <c r="G142" s="42"/>
      <c r="H142" s="42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>
      <c r="A143" s="8"/>
      <c r="B143" s="8"/>
      <c r="C143" s="8"/>
      <c r="D143" s="42"/>
      <c r="E143" s="42"/>
      <c r="F143" s="42"/>
      <c r="G143" s="42"/>
      <c r="H143" s="42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>
      <c r="A144" s="8"/>
      <c r="B144" s="8"/>
      <c r="C144" s="8"/>
      <c r="D144" s="42"/>
      <c r="E144" s="42"/>
      <c r="F144" s="42"/>
      <c r="G144" s="42"/>
      <c r="H144" s="42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>
      <c r="A145" s="8"/>
      <c r="B145" s="8"/>
      <c r="C145" s="8"/>
      <c r="D145" s="42"/>
      <c r="E145" s="42"/>
      <c r="F145" s="42"/>
      <c r="G145" s="42"/>
      <c r="H145" s="42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>
      <c r="A146" s="8"/>
      <c r="B146" s="8"/>
      <c r="C146" s="8"/>
      <c r="D146" s="42"/>
      <c r="E146" s="42"/>
      <c r="F146" s="42"/>
      <c r="G146" s="42"/>
      <c r="H146" s="42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>
      <c r="A147" s="8"/>
      <c r="B147" s="8"/>
      <c r="C147" s="8"/>
      <c r="D147" s="42"/>
      <c r="E147" s="42"/>
      <c r="F147" s="42"/>
      <c r="G147" s="42"/>
      <c r="H147" s="42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>
      <c r="A148" s="8"/>
      <c r="B148" s="8"/>
      <c r="C148" s="8"/>
      <c r="D148" s="42"/>
      <c r="E148" s="42"/>
      <c r="F148" s="42"/>
      <c r="G148" s="42"/>
      <c r="H148" s="42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>
      <c r="A149" s="8"/>
      <c r="B149" s="8"/>
      <c r="C149" s="8"/>
      <c r="D149" s="42"/>
      <c r="E149" s="42"/>
      <c r="F149" s="42"/>
      <c r="G149" s="42"/>
      <c r="H149" s="42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>
      <c r="A150" s="8"/>
      <c r="B150" s="8"/>
      <c r="C150" s="8"/>
      <c r="D150" s="42"/>
      <c r="E150" s="42"/>
      <c r="F150" s="42"/>
      <c r="G150" s="42"/>
      <c r="H150" s="42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>
      <c r="A151" s="8"/>
      <c r="B151" s="8"/>
      <c r="C151" s="8"/>
      <c r="D151" s="42"/>
      <c r="E151" s="42"/>
      <c r="F151" s="42"/>
      <c r="G151" s="42"/>
      <c r="H151" s="42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>
      <c r="A152" s="8"/>
      <c r="B152" s="8"/>
      <c r="C152" s="8"/>
      <c r="D152" s="42"/>
      <c r="E152" s="42"/>
      <c r="F152" s="42"/>
      <c r="G152" s="42"/>
      <c r="H152" s="42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>
      <c r="A153" s="8"/>
      <c r="B153" s="8"/>
      <c r="C153" s="8"/>
      <c r="D153" s="42"/>
      <c r="E153" s="42"/>
      <c r="F153" s="42"/>
      <c r="G153" s="42"/>
      <c r="H153" s="42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>
      <c r="A154" s="8"/>
      <c r="B154" s="8"/>
      <c r="C154" s="8"/>
      <c r="D154" s="42"/>
      <c r="E154" s="42"/>
      <c r="F154" s="42"/>
      <c r="G154" s="42"/>
      <c r="H154" s="42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>
      <c r="A155" s="8"/>
      <c r="B155" s="8"/>
      <c r="C155" s="8"/>
      <c r="D155" s="42"/>
      <c r="E155" s="42"/>
      <c r="F155" s="42"/>
      <c r="G155" s="42"/>
      <c r="H155" s="42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>
      <c r="A156" s="8"/>
      <c r="B156" s="8"/>
      <c r="C156" s="8"/>
      <c r="D156" s="42"/>
      <c r="E156" s="42"/>
      <c r="F156" s="42"/>
      <c r="G156" s="42"/>
      <c r="H156" s="42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r="157">
      <c r="A157" s="8"/>
      <c r="B157" s="8"/>
      <c r="C157" s="8"/>
      <c r="D157" s="42"/>
      <c r="E157" s="42"/>
      <c r="F157" s="42"/>
      <c r="G157" s="42"/>
      <c r="H157" s="42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>
      <c r="A158" s="8"/>
      <c r="B158" s="8"/>
      <c r="C158" s="8"/>
      <c r="D158" s="42"/>
      <c r="E158" s="42"/>
      <c r="F158" s="42"/>
      <c r="G158" s="42"/>
      <c r="H158" s="42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>
      <c r="A159" s="8"/>
      <c r="B159" s="8"/>
      <c r="C159" s="8"/>
      <c r="D159" s="42"/>
      <c r="E159" s="42"/>
      <c r="F159" s="42"/>
      <c r="G159" s="42"/>
      <c r="H159" s="42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>
      <c r="A160" s="8"/>
      <c r="B160" s="8"/>
      <c r="C160" s="8"/>
      <c r="D160" s="42"/>
      <c r="E160" s="42"/>
      <c r="F160" s="42"/>
      <c r="G160" s="42"/>
      <c r="H160" s="42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>
      <c r="A161" s="8"/>
      <c r="B161" s="8"/>
      <c r="C161" s="8"/>
      <c r="D161" s="42"/>
      <c r="E161" s="42"/>
      <c r="F161" s="42"/>
      <c r="G161" s="42"/>
      <c r="H161" s="42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>
      <c r="A162" s="8"/>
      <c r="B162" s="8"/>
      <c r="C162" s="8"/>
      <c r="D162" s="42"/>
      <c r="E162" s="42"/>
      <c r="F162" s="42"/>
      <c r="G162" s="42"/>
      <c r="H162" s="42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>
      <c r="A163" s="8"/>
      <c r="B163" s="8"/>
      <c r="C163" s="8"/>
      <c r="D163" s="42"/>
      <c r="E163" s="42"/>
      <c r="F163" s="42"/>
      <c r="G163" s="42"/>
      <c r="H163" s="42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>
      <c r="A164" s="8"/>
      <c r="B164" s="8"/>
      <c r="C164" s="8"/>
      <c r="D164" s="42"/>
      <c r="E164" s="42"/>
      <c r="F164" s="42"/>
      <c r="G164" s="42"/>
      <c r="H164" s="42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>
      <c r="A165" s="8"/>
      <c r="B165" s="8"/>
      <c r="C165" s="8"/>
      <c r="D165" s="42"/>
      <c r="E165" s="42"/>
      <c r="F165" s="42"/>
      <c r="G165" s="42"/>
      <c r="H165" s="42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>
      <c r="A166" s="8"/>
      <c r="B166" s="8"/>
      <c r="C166" s="8"/>
      <c r="D166" s="42"/>
      <c r="E166" s="42"/>
      <c r="F166" s="42"/>
      <c r="G166" s="42"/>
      <c r="H166" s="42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>
      <c r="A167" s="8"/>
      <c r="B167" s="8"/>
      <c r="C167" s="8"/>
      <c r="D167" s="42"/>
      <c r="E167" s="42"/>
      <c r="F167" s="42"/>
      <c r="G167" s="42"/>
      <c r="H167" s="42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>
      <c r="A168" s="8"/>
      <c r="B168" s="8"/>
      <c r="C168" s="8"/>
      <c r="D168" s="42"/>
      <c r="E168" s="42"/>
      <c r="F168" s="42"/>
      <c r="G168" s="42"/>
      <c r="H168" s="42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>
      <c r="A169" s="8"/>
      <c r="B169" s="8"/>
      <c r="C169" s="8"/>
      <c r="D169" s="42"/>
      <c r="E169" s="42"/>
      <c r="F169" s="42"/>
      <c r="G169" s="42"/>
      <c r="H169" s="42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>
      <c r="A170" s="8"/>
      <c r="B170" s="8"/>
      <c r="C170" s="8"/>
      <c r="D170" s="42"/>
      <c r="E170" s="42"/>
      <c r="F170" s="42"/>
      <c r="G170" s="42"/>
      <c r="H170" s="42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>
      <c r="A171" s="8"/>
      <c r="B171" s="8"/>
      <c r="C171" s="8"/>
      <c r="D171" s="42"/>
      <c r="E171" s="42"/>
      <c r="F171" s="42"/>
      <c r="G171" s="42"/>
      <c r="H171" s="42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>
      <c r="A172" s="8"/>
      <c r="B172" s="8"/>
      <c r="C172" s="8"/>
      <c r="D172" s="42"/>
      <c r="E172" s="42"/>
      <c r="F172" s="42"/>
      <c r="G172" s="42"/>
      <c r="H172" s="42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>
      <c r="A173" s="8"/>
      <c r="B173" s="8"/>
      <c r="C173" s="8"/>
      <c r="D173" s="42"/>
      <c r="E173" s="42"/>
      <c r="F173" s="42"/>
      <c r="G173" s="42"/>
      <c r="H173" s="42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>
      <c r="A174" s="8"/>
      <c r="B174" s="8"/>
      <c r="C174" s="8"/>
      <c r="D174" s="42"/>
      <c r="E174" s="42"/>
      <c r="F174" s="42"/>
      <c r="G174" s="42"/>
      <c r="H174" s="42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>
      <c r="A175" s="8"/>
      <c r="B175" s="8"/>
      <c r="C175" s="8"/>
      <c r="D175" s="42"/>
      <c r="E175" s="42"/>
      <c r="F175" s="42"/>
      <c r="G175" s="42"/>
      <c r="H175" s="42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>
      <c r="A176" s="8"/>
      <c r="B176" s="8"/>
      <c r="C176" s="8"/>
      <c r="D176" s="42"/>
      <c r="E176" s="42"/>
      <c r="F176" s="42"/>
      <c r="G176" s="42"/>
      <c r="H176" s="42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>
      <c r="A177" s="8"/>
      <c r="B177" s="8"/>
      <c r="C177" s="8"/>
      <c r="D177" s="42"/>
      <c r="E177" s="42"/>
      <c r="F177" s="42"/>
      <c r="G177" s="42"/>
      <c r="H177" s="42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>
      <c r="A178" s="8"/>
      <c r="B178" s="8"/>
      <c r="C178" s="8"/>
      <c r="D178" s="42"/>
      <c r="E178" s="42"/>
      <c r="F178" s="42"/>
      <c r="G178" s="42"/>
      <c r="H178" s="42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>
      <c r="A179" s="8"/>
      <c r="B179" s="8"/>
      <c r="C179" s="8"/>
      <c r="D179" s="42"/>
      <c r="E179" s="42"/>
      <c r="F179" s="42"/>
      <c r="G179" s="42"/>
      <c r="H179" s="42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>
      <c r="A180" s="8"/>
      <c r="B180" s="8"/>
      <c r="C180" s="8"/>
      <c r="D180" s="42"/>
      <c r="E180" s="42"/>
      <c r="F180" s="42"/>
      <c r="G180" s="42"/>
      <c r="H180" s="42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>
      <c r="A181" s="8"/>
      <c r="B181" s="8"/>
      <c r="C181" s="8"/>
      <c r="D181" s="42"/>
      <c r="E181" s="42"/>
      <c r="F181" s="42"/>
      <c r="G181" s="42"/>
      <c r="H181" s="42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>
      <c r="A182" s="8"/>
      <c r="B182" s="8"/>
      <c r="C182" s="8"/>
      <c r="D182" s="42"/>
      <c r="E182" s="42"/>
      <c r="F182" s="42"/>
      <c r="G182" s="42"/>
      <c r="H182" s="42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>
      <c r="A183" s="8"/>
      <c r="B183" s="8"/>
      <c r="C183" s="8"/>
      <c r="D183" s="42"/>
      <c r="E183" s="42"/>
      <c r="F183" s="42"/>
      <c r="G183" s="42"/>
      <c r="H183" s="42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>
      <c r="A184" s="8"/>
      <c r="B184" s="8"/>
      <c r="C184" s="8"/>
      <c r="D184" s="42"/>
      <c r="E184" s="42"/>
      <c r="F184" s="42"/>
      <c r="G184" s="42"/>
      <c r="H184" s="42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>
      <c r="A185" s="8"/>
      <c r="B185" s="8"/>
      <c r="C185" s="8"/>
      <c r="D185" s="42"/>
      <c r="E185" s="42"/>
      <c r="F185" s="42"/>
      <c r="G185" s="42"/>
      <c r="H185" s="42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>
      <c r="A186" s="8"/>
      <c r="B186" s="8"/>
      <c r="C186" s="8"/>
      <c r="D186" s="42"/>
      <c r="E186" s="42"/>
      <c r="F186" s="42"/>
      <c r="G186" s="42"/>
      <c r="H186" s="42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>
      <c r="A187" s="8"/>
      <c r="B187" s="8"/>
      <c r="C187" s="8"/>
      <c r="D187" s="42"/>
      <c r="E187" s="42"/>
      <c r="F187" s="42"/>
      <c r="G187" s="42"/>
      <c r="H187" s="42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>
      <c r="A188" s="8"/>
      <c r="B188" s="8"/>
      <c r="C188" s="8"/>
      <c r="D188" s="42"/>
      <c r="E188" s="42"/>
      <c r="F188" s="42"/>
      <c r="G188" s="42"/>
      <c r="H188" s="42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>
      <c r="A189" s="8"/>
      <c r="B189" s="8"/>
      <c r="C189" s="8"/>
      <c r="D189" s="42"/>
      <c r="E189" s="42"/>
      <c r="F189" s="42"/>
      <c r="G189" s="42"/>
      <c r="H189" s="42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>
      <c r="A190" s="8"/>
      <c r="B190" s="8"/>
      <c r="C190" s="8"/>
      <c r="D190" s="42"/>
      <c r="E190" s="42"/>
      <c r="F190" s="42"/>
      <c r="G190" s="42"/>
      <c r="H190" s="42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>
      <c r="A191" s="8"/>
      <c r="B191" s="8"/>
      <c r="C191" s="8"/>
      <c r="D191" s="42"/>
      <c r="E191" s="42"/>
      <c r="F191" s="42"/>
      <c r="G191" s="42"/>
      <c r="H191" s="42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>
      <c r="A192" s="8"/>
      <c r="B192" s="8"/>
      <c r="C192" s="8"/>
      <c r="D192" s="42"/>
      <c r="E192" s="42"/>
      <c r="F192" s="42"/>
      <c r="G192" s="42"/>
      <c r="H192" s="42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>
      <c r="A193" s="8"/>
      <c r="B193" s="8"/>
      <c r="C193" s="8"/>
      <c r="D193" s="42"/>
      <c r="E193" s="42"/>
      <c r="F193" s="42"/>
      <c r="G193" s="42"/>
      <c r="H193" s="42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>
      <c r="A194" s="8"/>
      <c r="B194" s="8"/>
      <c r="C194" s="8"/>
      <c r="D194" s="42"/>
      <c r="E194" s="42"/>
      <c r="F194" s="42"/>
      <c r="G194" s="42"/>
      <c r="H194" s="42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>
      <c r="A195" s="8"/>
      <c r="B195" s="8"/>
      <c r="C195" s="8"/>
      <c r="D195" s="42"/>
      <c r="E195" s="42"/>
      <c r="F195" s="42"/>
      <c r="G195" s="42"/>
      <c r="H195" s="42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>
      <c r="A196" s="8"/>
      <c r="B196" s="8"/>
      <c r="C196" s="8"/>
      <c r="D196" s="42"/>
      <c r="E196" s="42"/>
      <c r="F196" s="42"/>
      <c r="G196" s="42"/>
      <c r="H196" s="42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>
      <c r="A197" s="8"/>
      <c r="B197" s="8"/>
      <c r="C197" s="8"/>
      <c r="D197" s="42"/>
      <c r="E197" s="42"/>
      <c r="F197" s="42"/>
      <c r="G197" s="42"/>
      <c r="H197" s="42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>
      <c r="A198" s="8"/>
      <c r="B198" s="8"/>
      <c r="C198" s="8"/>
      <c r="D198" s="42"/>
      <c r="E198" s="42"/>
      <c r="F198" s="42"/>
      <c r="G198" s="42"/>
      <c r="H198" s="42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>
      <c r="A199" s="8"/>
      <c r="B199" s="8"/>
      <c r="C199" s="8"/>
      <c r="D199" s="42"/>
      <c r="E199" s="42"/>
      <c r="F199" s="42"/>
      <c r="G199" s="42"/>
      <c r="H199" s="42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>
      <c r="A200" s="8"/>
      <c r="B200" s="8"/>
      <c r="C200" s="8"/>
      <c r="D200" s="42"/>
      <c r="E200" s="42"/>
      <c r="F200" s="42"/>
      <c r="G200" s="42"/>
      <c r="H200" s="42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>
      <c r="A201" s="8"/>
      <c r="B201" s="8"/>
      <c r="C201" s="8"/>
      <c r="D201" s="42"/>
      <c r="E201" s="42"/>
      <c r="F201" s="42"/>
      <c r="G201" s="42"/>
      <c r="H201" s="42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>
      <c r="A202" s="8"/>
      <c r="B202" s="8"/>
      <c r="C202" s="8"/>
      <c r="D202" s="42"/>
      <c r="E202" s="42"/>
      <c r="F202" s="42"/>
      <c r="G202" s="42"/>
      <c r="H202" s="42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>
      <c r="A203" s="8"/>
      <c r="B203" s="8"/>
      <c r="C203" s="8"/>
      <c r="D203" s="42"/>
      <c r="E203" s="42"/>
      <c r="F203" s="42"/>
      <c r="G203" s="42"/>
      <c r="H203" s="42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>
      <c r="A204" s="8"/>
      <c r="B204" s="8"/>
      <c r="C204" s="8"/>
      <c r="D204" s="42"/>
      <c r="E204" s="42"/>
      <c r="F204" s="42"/>
      <c r="G204" s="42"/>
      <c r="H204" s="42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>
      <c r="A205" s="8"/>
      <c r="B205" s="8"/>
      <c r="C205" s="8"/>
      <c r="D205" s="42"/>
      <c r="E205" s="42"/>
      <c r="F205" s="42"/>
      <c r="G205" s="42"/>
      <c r="H205" s="42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>
      <c r="A206" s="8"/>
      <c r="B206" s="8"/>
      <c r="C206" s="8"/>
      <c r="D206" s="42"/>
      <c r="E206" s="42"/>
      <c r="F206" s="42"/>
      <c r="G206" s="42"/>
      <c r="H206" s="42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>
      <c r="A207" s="8"/>
      <c r="B207" s="8"/>
      <c r="C207" s="8"/>
      <c r="D207" s="42"/>
      <c r="E207" s="42"/>
      <c r="F207" s="42"/>
      <c r="G207" s="42"/>
      <c r="H207" s="42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>
      <c r="A208" s="8"/>
      <c r="B208" s="8"/>
      <c r="C208" s="8"/>
      <c r="D208" s="42"/>
      <c r="E208" s="42"/>
      <c r="F208" s="42"/>
      <c r="G208" s="42"/>
      <c r="H208" s="42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>
      <c r="A209" s="8"/>
      <c r="B209" s="8"/>
      <c r="C209" s="8"/>
      <c r="D209" s="42"/>
      <c r="E209" s="42"/>
      <c r="F209" s="42"/>
      <c r="G209" s="42"/>
      <c r="H209" s="42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>
      <c r="A210" s="8"/>
      <c r="B210" s="8"/>
      <c r="C210" s="8"/>
      <c r="D210" s="42"/>
      <c r="E210" s="42"/>
      <c r="F210" s="42"/>
      <c r="G210" s="42"/>
      <c r="H210" s="42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>
      <c r="A211" s="8"/>
      <c r="B211" s="8"/>
      <c r="C211" s="8"/>
      <c r="D211" s="42"/>
      <c r="E211" s="42"/>
      <c r="F211" s="42"/>
      <c r="G211" s="42"/>
      <c r="H211" s="42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>
      <c r="A212" s="8"/>
      <c r="B212" s="8"/>
      <c r="C212" s="8"/>
      <c r="D212" s="42"/>
      <c r="E212" s="42"/>
      <c r="F212" s="42"/>
      <c r="G212" s="42"/>
      <c r="H212" s="42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>
      <c r="A213" s="8"/>
      <c r="B213" s="8"/>
      <c r="C213" s="8"/>
      <c r="D213" s="42"/>
      <c r="E213" s="42"/>
      <c r="F213" s="42"/>
      <c r="G213" s="42"/>
      <c r="H213" s="42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>
      <c r="A214" s="8"/>
      <c r="B214" s="8"/>
      <c r="C214" s="8"/>
      <c r="D214" s="42"/>
      <c r="E214" s="42"/>
      <c r="F214" s="42"/>
      <c r="G214" s="42"/>
      <c r="H214" s="42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>
      <c r="A215" s="8"/>
      <c r="B215" s="8"/>
      <c r="C215" s="8"/>
      <c r="D215" s="42"/>
      <c r="E215" s="42"/>
      <c r="F215" s="42"/>
      <c r="G215" s="42"/>
      <c r="H215" s="42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>
      <c r="A216" s="8"/>
      <c r="B216" s="8"/>
      <c r="C216" s="8"/>
      <c r="D216" s="42"/>
      <c r="E216" s="42"/>
      <c r="F216" s="42"/>
      <c r="G216" s="42"/>
      <c r="H216" s="42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>
      <c r="A217" s="8"/>
      <c r="B217" s="8"/>
      <c r="C217" s="8"/>
      <c r="D217" s="42"/>
      <c r="E217" s="42"/>
      <c r="F217" s="42"/>
      <c r="G217" s="42"/>
      <c r="H217" s="42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>
      <c r="A218" s="8"/>
      <c r="B218" s="8"/>
      <c r="C218" s="8"/>
      <c r="D218" s="42"/>
      <c r="E218" s="42"/>
      <c r="F218" s="42"/>
      <c r="G218" s="42"/>
      <c r="H218" s="42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>
      <c r="A219" s="8"/>
      <c r="B219" s="8"/>
      <c r="C219" s="8"/>
      <c r="D219" s="42"/>
      <c r="E219" s="42"/>
      <c r="F219" s="42"/>
      <c r="G219" s="42"/>
      <c r="H219" s="42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>
      <c r="A220" s="8"/>
      <c r="B220" s="8"/>
      <c r="C220" s="8"/>
      <c r="D220" s="42"/>
      <c r="E220" s="42"/>
      <c r="F220" s="42"/>
      <c r="G220" s="42"/>
      <c r="H220" s="42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>
      <c r="A221" s="8"/>
      <c r="B221" s="8"/>
      <c r="C221" s="8"/>
      <c r="D221" s="42"/>
      <c r="E221" s="42"/>
      <c r="F221" s="42"/>
      <c r="G221" s="42"/>
      <c r="H221" s="42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>
      <c r="A222" s="8"/>
      <c r="B222" s="8"/>
      <c r="C222" s="8"/>
      <c r="D222" s="42"/>
      <c r="E222" s="42"/>
      <c r="F222" s="42"/>
      <c r="G222" s="42"/>
      <c r="H222" s="42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>
      <c r="A223" s="8"/>
      <c r="B223" s="8"/>
      <c r="C223" s="8"/>
      <c r="D223" s="42"/>
      <c r="E223" s="42"/>
      <c r="F223" s="42"/>
      <c r="G223" s="42"/>
      <c r="H223" s="42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r="224">
      <c r="A224" s="8"/>
      <c r="B224" s="8"/>
      <c r="C224" s="8"/>
      <c r="D224" s="42"/>
      <c r="E224" s="42"/>
      <c r="F224" s="42"/>
      <c r="G224" s="42"/>
      <c r="H224" s="42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r="225">
      <c r="A225" s="8"/>
      <c r="B225" s="8"/>
      <c r="C225" s="8"/>
      <c r="D225" s="42"/>
      <c r="E225" s="42"/>
      <c r="F225" s="42"/>
      <c r="G225" s="42"/>
      <c r="H225" s="42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r="226">
      <c r="A226" s="8"/>
      <c r="B226" s="8"/>
      <c r="C226" s="8"/>
      <c r="D226" s="42"/>
      <c r="E226" s="42"/>
      <c r="F226" s="42"/>
      <c r="G226" s="42"/>
      <c r="H226" s="42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r="227">
      <c r="A227" s="8"/>
      <c r="B227" s="8"/>
      <c r="C227" s="8"/>
      <c r="D227" s="42"/>
      <c r="E227" s="42"/>
      <c r="F227" s="42"/>
      <c r="G227" s="42"/>
      <c r="H227" s="42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</row>
    <row r="228">
      <c r="A228" s="8"/>
      <c r="B228" s="8"/>
      <c r="C228" s="8"/>
      <c r="D228" s="42"/>
      <c r="E228" s="42"/>
      <c r="F228" s="42"/>
      <c r="G228" s="42"/>
      <c r="H228" s="42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</row>
    <row r="229">
      <c r="A229" s="8"/>
      <c r="B229" s="8"/>
      <c r="C229" s="8"/>
      <c r="D229" s="42"/>
      <c r="E229" s="42"/>
      <c r="F229" s="42"/>
      <c r="G229" s="42"/>
      <c r="H229" s="42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</row>
    <row r="230">
      <c r="A230" s="8"/>
      <c r="B230" s="8"/>
      <c r="C230" s="8"/>
      <c r="D230" s="42"/>
      <c r="E230" s="42"/>
      <c r="F230" s="42"/>
      <c r="G230" s="42"/>
      <c r="H230" s="42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r="231">
      <c r="A231" s="8"/>
      <c r="B231" s="8"/>
      <c r="C231" s="8"/>
      <c r="D231" s="42"/>
      <c r="E231" s="42"/>
      <c r="F231" s="42"/>
      <c r="G231" s="42"/>
      <c r="H231" s="42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</row>
    <row r="232">
      <c r="A232" s="8"/>
      <c r="B232" s="8"/>
      <c r="C232" s="8"/>
      <c r="D232" s="42"/>
      <c r="E232" s="42"/>
      <c r="F232" s="42"/>
      <c r="G232" s="42"/>
      <c r="H232" s="42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</row>
    <row r="233">
      <c r="A233" s="8"/>
      <c r="B233" s="8"/>
      <c r="C233" s="8"/>
      <c r="D233" s="42"/>
      <c r="E233" s="42"/>
      <c r="F233" s="42"/>
      <c r="G233" s="42"/>
      <c r="H233" s="42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</row>
    <row r="234">
      <c r="A234" s="8"/>
      <c r="B234" s="8"/>
      <c r="C234" s="8"/>
      <c r="D234" s="42"/>
      <c r="E234" s="42"/>
      <c r="F234" s="42"/>
      <c r="G234" s="42"/>
      <c r="H234" s="42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</row>
    <row r="235">
      <c r="A235" s="8"/>
      <c r="B235" s="8"/>
      <c r="C235" s="8"/>
      <c r="D235" s="42"/>
      <c r="E235" s="42"/>
      <c r="F235" s="42"/>
      <c r="G235" s="42"/>
      <c r="H235" s="42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</row>
    <row r="236">
      <c r="A236" s="8"/>
      <c r="B236" s="8"/>
      <c r="C236" s="8"/>
      <c r="D236" s="42"/>
      <c r="E236" s="42"/>
      <c r="F236" s="42"/>
      <c r="G236" s="42"/>
      <c r="H236" s="42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</row>
    <row r="237">
      <c r="A237" s="8"/>
      <c r="B237" s="8"/>
      <c r="C237" s="8"/>
      <c r="D237" s="42"/>
      <c r="E237" s="42"/>
      <c r="F237" s="42"/>
      <c r="G237" s="42"/>
      <c r="H237" s="42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</row>
    <row r="238">
      <c r="A238" s="8"/>
      <c r="B238" s="8"/>
      <c r="C238" s="8"/>
      <c r="D238" s="42"/>
      <c r="E238" s="42"/>
      <c r="F238" s="42"/>
      <c r="G238" s="42"/>
      <c r="H238" s="42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</row>
    <row r="239">
      <c r="A239" s="8"/>
      <c r="B239" s="8"/>
      <c r="C239" s="8"/>
      <c r="D239" s="42"/>
      <c r="E239" s="42"/>
      <c r="F239" s="42"/>
      <c r="G239" s="42"/>
      <c r="H239" s="42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</row>
    <row r="240">
      <c r="A240" s="8"/>
      <c r="B240" s="8"/>
      <c r="C240" s="8"/>
      <c r="D240" s="42"/>
      <c r="E240" s="42"/>
      <c r="F240" s="42"/>
      <c r="G240" s="42"/>
      <c r="H240" s="42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r="241">
      <c r="A241" s="8"/>
      <c r="B241" s="8"/>
      <c r="C241" s="8"/>
      <c r="D241" s="42"/>
      <c r="E241" s="42"/>
      <c r="F241" s="42"/>
      <c r="G241" s="42"/>
      <c r="H241" s="42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</row>
    <row r="242">
      <c r="A242" s="8"/>
      <c r="B242" s="8"/>
      <c r="C242" s="8"/>
      <c r="D242" s="42"/>
      <c r="E242" s="42"/>
      <c r="F242" s="42"/>
      <c r="G242" s="42"/>
      <c r="H242" s="42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</row>
    <row r="243">
      <c r="A243" s="8"/>
      <c r="B243" s="8"/>
      <c r="C243" s="8"/>
      <c r="D243" s="42"/>
      <c r="E243" s="42"/>
      <c r="F243" s="42"/>
      <c r="G243" s="42"/>
      <c r="H243" s="42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</row>
    <row r="244">
      <c r="A244" s="8"/>
      <c r="B244" s="8"/>
      <c r="C244" s="8"/>
      <c r="D244" s="42"/>
      <c r="E244" s="42"/>
      <c r="F244" s="42"/>
      <c r="G244" s="42"/>
      <c r="H244" s="42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</row>
    <row r="245">
      <c r="A245" s="8"/>
      <c r="B245" s="8"/>
      <c r="C245" s="8"/>
      <c r="D245" s="42"/>
      <c r="E245" s="42"/>
      <c r="F245" s="42"/>
      <c r="G245" s="42"/>
      <c r="H245" s="42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</row>
    <row r="246">
      <c r="A246" s="8"/>
      <c r="B246" s="8"/>
      <c r="C246" s="8"/>
      <c r="D246" s="42"/>
      <c r="E246" s="42"/>
      <c r="F246" s="42"/>
      <c r="G246" s="42"/>
      <c r="H246" s="42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</row>
    <row r="247">
      <c r="A247" s="8"/>
      <c r="B247" s="8"/>
      <c r="C247" s="8"/>
      <c r="D247" s="42"/>
      <c r="E247" s="42"/>
      <c r="F247" s="42"/>
      <c r="G247" s="42"/>
      <c r="H247" s="42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</row>
    <row r="248">
      <c r="A248" s="8"/>
      <c r="B248" s="8"/>
      <c r="C248" s="8"/>
      <c r="D248" s="42"/>
      <c r="E248" s="42"/>
      <c r="F248" s="42"/>
      <c r="G248" s="42"/>
      <c r="H248" s="42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</row>
    <row r="249">
      <c r="A249" s="8"/>
      <c r="B249" s="8"/>
      <c r="C249" s="8"/>
      <c r="D249" s="42"/>
      <c r="E249" s="42"/>
      <c r="F249" s="42"/>
      <c r="G249" s="42"/>
      <c r="H249" s="42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</row>
    <row r="250">
      <c r="A250" s="8"/>
      <c r="B250" s="8"/>
      <c r="C250" s="8"/>
      <c r="D250" s="42"/>
      <c r="E250" s="42"/>
      <c r="F250" s="42"/>
      <c r="G250" s="42"/>
      <c r="H250" s="42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</row>
    <row r="251">
      <c r="A251" s="8"/>
      <c r="B251" s="8"/>
      <c r="C251" s="8"/>
      <c r="D251" s="42"/>
      <c r="E251" s="42"/>
      <c r="F251" s="42"/>
      <c r="G251" s="42"/>
      <c r="H251" s="42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r="252">
      <c r="A252" s="8"/>
      <c r="B252" s="8"/>
      <c r="C252" s="8"/>
      <c r="D252" s="42"/>
      <c r="E252" s="42"/>
      <c r="F252" s="42"/>
      <c r="G252" s="42"/>
      <c r="H252" s="42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</row>
    <row r="253">
      <c r="A253" s="8"/>
      <c r="B253" s="8"/>
      <c r="C253" s="8"/>
      <c r="D253" s="42"/>
      <c r="E253" s="42"/>
      <c r="F253" s="42"/>
      <c r="G253" s="42"/>
      <c r="H253" s="42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</row>
    <row r="254">
      <c r="A254" s="8"/>
      <c r="B254" s="8"/>
      <c r="C254" s="8"/>
      <c r="D254" s="42"/>
      <c r="E254" s="42"/>
      <c r="F254" s="42"/>
      <c r="G254" s="42"/>
      <c r="H254" s="42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</row>
    <row r="255">
      <c r="A255" s="8"/>
      <c r="B255" s="8"/>
      <c r="C255" s="8"/>
      <c r="D255" s="42"/>
      <c r="E255" s="42"/>
      <c r="F255" s="42"/>
      <c r="G255" s="42"/>
      <c r="H255" s="42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</row>
    <row r="256">
      <c r="A256" s="8"/>
      <c r="B256" s="8"/>
      <c r="C256" s="8"/>
      <c r="D256" s="42"/>
      <c r="E256" s="42"/>
      <c r="F256" s="42"/>
      <c r="G256" s="42"/>
      <c r="H256" s="42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</row>
    <row r="257">
      <c r="A257" s="8"/>
      <c r="B257" s="8"/>
      <c r="C257" s="8"/>
      <c r="D257" s="42"/>
      <c r="E257" s="42"/>
      <c r="F257" s="42"/>
      <c r="G257" s="42"/>
      <c r="H257" s="42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</row>
    <row r="258">
      <c r="A258" s="8"/>
      <c r="B258" s="8"/>
      <c r="C258" s="8"/>
      <c r="D258" s="42"/>
      <c r="E258" s="42"/>
      <c r="F258" s="42"/>
      <c r="G258" s="42"/>
      <c r="H258" s="42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</row>
    <row r="259">
      <c r="A259" s="8"/>
      <c r="B259" s="8"/>
      <c r="C259" s="8"/>
      <c r="D259" s="42"/>
      <c r="E259" s="42"/>
      <c r="F259" s="42"/>
      <c r="G259" s="42"/>
      <c r="H259" s="42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</row>
    <row r="260">
      <c r="A260" s="8"/>
      <c r="B260" s="8"/>
      <c r="C260" s="8"/>
      <c r="D260" s="42"/>
      <c r="E260" s="42"/>
      <c r="F260" s="42"/>
      <c r="G260" s="42"/>
      <c r="H260" s="42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</row>
    <row r="261">
      <c r="A261" s="8"/>
      <c r="B261" s="8"/>
      <c r="C261" s="8"/>
      <c r="D261" s="42"/>
      <c r="E261" s="42"/>
      <c r="F261" s="42"/>
      <c r="G261" s="42"/>
      <c r="H261" s="42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</row>
    <row r="262">
      <c r="A262" s="8"/>
      <c r="B262" s="8"/>
      <c r="C262" s="8"/>
      <c r="D262" s="42"/>
      <c r="E262" s="42"/>
      <c r="F262" s="42"/>
      <c r="G262" s="42"/>
      <c r="H262" s="42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</row>
    <row r="263">
      <c r="A263" s="8"/>
      <c r="B263" s="8"/>
      <c r="C263" s="8"/>
      <c r="D263" s="42"/>
      <c r="E263" s="42"/>
      <c r="F263" s="42"/>
      <c r="G263" s="42"/>
      <c r="H263" s="42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</row>
    <row r="264">
      <c r="A264" s="8"/>
      <c r="B264" s="8"/>
      <c r="C264" s="8"/>
      <c r="D264" s="42"/>
      <c r="E264" s="42"/>
      <c r="F264" s="42"/>
      <c r="G264" s="42"/>
      <c r="H264" s="42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</row>
    <row r="265">
      <c r="A265" s="8"/>
      <c r="B265" s="8"/>
      <c r="C265" s="8"/>
      <c r="D265" s="42"/>
      <c r="E265" s="42"/>
      <c r="F265" s="42"/>
      <c r="G265" s="42"/>
      <c r="H265" s="42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</row>
    <row r="266">
      <c r="A266" s="8"/>
      <c r="B266" s="8"/>
      <c r="C266" s="8"/>
      <c r="D266" s="42"/>
      <c r="E266" s="42"/>
      <c r="F266" s="42"/>
      <c r="G266" s="42"/>
      <c r="H266" s="42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</row>
    <row r="267">
      <c r="A267" s="8"/>
      <c r="B267" s="8"/>
      <c r="C267" s="8"/>
      <c r="D267" s="42"/>
      <c r="E267" s="42"/>
      <c r="F267" s="42"/>
      <c r="G267" s="42"/>
      <c r="H267" s="42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</row>
    <row r="268">
      <c r="A268" s="8"/>
      <c r="B268" s="8"/>
      <c r="C268" s="8"/>
      <c r="D268" s="42"/>
      <c r="E268" s="42"/>
      <c r="F268" s="42"/>
      <c r="G268" s="42"/>
      <c r="H268" s="42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</row>
    <row r="269">
      <c r="A269" s="8"/>
      <c r="B269" s="8"/>
      <c r="C269" s="8"/>
      <c r="D269" s="42"/>
      <c r="E269" s="42"/>
      <c r="F269" s="42"/>
      <c r="G269" s="42"/>
      <c r="H269" s="42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</row>
    <row r="270">
      <c r="A270" s="8"/>
      <c r="B270" s="8"/>
      <c r="C270" s="8"/>
      <c r="D270" s="42"/>
      <c r="E270" s="42"/>
      <c r="F270" s="42"/>
      <c r="G270" s="42"/>
      <c r="H270" s="42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</row>
    <row r="271">
      <c r="A271" s="8"/>
      <c r="B271" s="8"/>
      <c r="C271" s="8"/>
      <c r="D271" s="42"/>
      <c r="E271" s="42"/>
      <c r="F271" s="42"/>
      <c r="G271" s="42"/>
      <c r="H271" s="42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</row>
    <row r="272">
      <c r="A272" s="8"/>
      <c r="B272" s="8"/>
      <c r="C272" s="8"/>
      <c r="D272" s="42"/>
      <c r="E272" s="42"/>
      <c r="F272" s="42"/>
      <c r="G272" s="42"/>
      <c r="H272" s="42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</row>
    <row r="273">
      <c r="A273" s="8"/>
      <c r="B273" s="8"/>
      <c r="C273" s="8"/>
      <c r="D273" s="42"/>
      <c r="E273" s="42"/>
      <c r="F273" s="42"/>
      <c r="G273" s="42"/>
      <c r="H273" s="42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</row>
    <row r="274">
      <c r="A274" s="8"/>
      <c r="B274" s="8"/>
      <c r="C274" s="8"/>
      <c r="D274" s="42"/>
      <c r="E274" s="42"/>
      <c r="F274" s="42"/>
      <c r="G274" s="42"/>
      <c r="H274" s="42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</row>
    <row r="275">
      <c r="A275" s="8"/>
      <c r="B275" s="8"/>
      <c r="C275" s="8"/>
      <c r="D275" s="42"/>
      <c r="E275" s="42"/>
      <c r="F275" s="42"/>
      <c r="G275" s="42"/>
      <c r="H275" s="42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</row>
    <row r="276">
      <c r="A276" s="8"/>
      <c r="B276" s="8"/>
      <c r="C276" s="8"/>
      <c r="D276" s="42"/>
      <c r="E276" s="42"/>
      <c r="F276" s="42"/>
      <c r="G276" s="42"/>
      <c r="H276" s="42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</row>
    <row r="277">
      <c r="A277" s="8"/>
      <c r="B277" s="8"/>
      <c r="C277" s="8"/>
      <c r="D277" s="42"/>
      <c r="E277" s="42"/>
      <c r="F277" s="42"/>
      <c r="G277" s="42"/>
      <c r="H277" s="42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</row>
    <row r="278">
      <c r="A278" s="8"/>
      <c r="B278" s="8"/>
      <c r="C278" s="8"/>
      <c r="D278" s="42"/>
      <c r="E278" s="42"/>
      <c r="F278" s="42"/>
      <c r="G278" s="42"/>
      <c r="H278" s="42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</row>
    <row r="279">
      <c r="A279" s="8"/>
      <c r="B279" s="8"/>
      <c r="C279" s="8"/>
      <c r="D279" s="42"/>
      <c r="E279" s="42"/>
      <c r="F279" s="42"/>
      <c r="G279" s="42"/>
      <c r="H279" s="42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</row>
    <row r="280">
      <c r="A280" s="8"/>
      <c r="B280" s="8"/>
      <c r="C280" s="8"/>
      <c r="D280" s="42"/>
      <c r="E280" s="42"/>
      <c r="F280" s="42"/>
      <c r="G280" s="42"/>
      <c r="H280" s="42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</row>
    <row r="281">
      <c r="A281" s="8"/>
      <c r="B281" s="8"/>
      <c r="C281" s="8"/>
      <c r="D281" s="42"/>
      <c r="E281" s="42"/>
      <c r="F281" s="42"/>
      <c r="G281" s="42"/>
      <c r="H281" s="42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</row>
    <row r="282">
      <c r="A282" s="8"/>
      <c r="B282" s="8"/>
      <c r="C282" s="8"/>
      <c r="D282" s="42"/>
      <c r="E282" s="42"/>
      <c r="F282" s="42"/>
      <c r="G282" s="42"/>
      <c r="H282" s="42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</row>
    <row r="283">
      <c r="A283" s="8"/>
      <c r="B283" s="8"/>
      <c r="C283" s="8"/>
      <c r="D283" s="42"/>
      <c r="E283" s="42"/>
      <c r="F283" s="42"/>
      <c r="G283" s="42"/>
      <c r="H283" s="42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</row>
    <row r="284">
      <c r="A284" s="8"/>
      <c r="B284" s="8"/>
      <c r="C284" s="8"/>
      <c r="D284" s="42"/>
      <c r="E284" s="42"/>
      <c r="F284" s="42"/>
      <c r="G284" s="42"/>
      <c r="H284" s="42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</row>
    <row r="285">
      <c r="A285" s="8"/>
      <c r="B285" s="8"/>
      <c r="C285" s="8"/>
      <c r="D285" s="42"/>
      <c r="E285" s="42"/>
      <c r="F285" s="42"/>
      <c r="G285" s="42"/>
      <c r="H285" s="42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</row>
    <row r="286">
      <c r="A286" s="8"/>
      <c r="B286" s="8"/>
      <c r="C286" s="8"/>
      <c r="D286" s="42"/>
      <c r="E286" s="42"/>
      <c r="F286" s="42"/>
      <c r="G286" s="42"/>
      <c r="H286" s="42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</row>
    <row r="287">
      <c r="A287" s="8"/>
      <c r="B287" s="8"/>
      <c r="C287" s="8"/>
      <c r="D287" s="42"/>
      <c r="E287" s="42"/>
      <c r="F287" s="42"/>
      <c r="G287" s="42"/>
      <c r="H287" s="42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</row>
    <row r="288">
      <c r="A288" s="8"/>
      <c r="B288" s="8"/>
      <c r="C288" s="8"/>
      <c r="D288" s="42"/>
      <c r="E288" s="42"/>
      <c r="F288" s="42"/>
      <c r="G288" s="42"/>
      <c r="H288" s="42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</row>
    <row r="289">
      <c r="A289" s="8"/>
      <c r="B289" s="8"/>
      <c r="C289" s="8"/>
      <c r="D289" s="42"/>
      <c r="E289" s="42"/>
      <c r="F289" s="42"/>
      <c r="G289" s="42"/>
      <c r="H289" s="42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</row>
    <row r="290">
      <c r="A290" s="8"/>
      <c r="B290" s="8"/>
      <c r="C290" s="8"/>
      <c r="D290" s="42"/>
      <c r="E290" s="42"/>
      <c r="F290" s="42"/>
      <c r="G290" s="42"/>
      <c r="H290" s="42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</row>
    <row r="291">
      <c r="A291" s="8"/>
      <c r="B291" s="8"/>
      <c r="C291" s="8"/>
      <c r="D291" s="42"/>
      <c r="E291" s="42"/>
      <c r="F291" s="42"/>
      <c r="G291" s="42"/>
      <c r="H291" s="42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</row>
    <row r="292">
      <c r="A292" s="8"/>
      <c r="B292" s="8"/>
      <c r="C292" s="8"/>
      <c r="D292" s="42"/>
      <c r="E292" s="42"/>
      <c r="F292" s="42"/>
      <c r="G292" s="42"/>
      <c r="H292" s="42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</row>
    <row r="293">
      <c r="A293" s="8"/>
      <c r="B293" s="8"/>
      <c r="C293" s="8"/>
      <c r="D293" s="42"/>
      <c r="E293" s="42"/>
      <c r="F293" s="42"/>
      <c r="G293" s="42"/>
      <c r="H293" s="42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</row>
    <row r="294">
      <c r="A294" s="8"/>
      <c r="B294" s="8"/>
      <c r="C294" s="8"/>
      <c r="D294" s="42"/>
      <c r="E294" s="42"/>
      <c r="F294" s="42"/>
      <c r="G294" s="42"/>
      <c r="H294" s="42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</row>
    <row r="295">
      <c r="A295" s="8"/>
      <c r="B295" s="8"/>
      <c r="C295" s="8"/>
      <c r="D295" s="42"/>
      <c r="E295" s="42"/>
      <c r="F295" s="42"/>
      <c r="G295" s="42"/>
      <c r="H295" s="42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</row>
    <row r="296">
      <c r="A296" s="8"/>
      <c r="B296" s="8"/>
      <c r="C296" s="8"/>
      <c r="D296" s="42"/>
      <c r="E296" s="42"/>
      <c r="F296" s="42"/>
      <c r="G296" s="42"/>
      <c r="H296" s="42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</row>
    <row r="297">
      <c r="A297" s="8"/>
      <c r="B297" s="8"/>
      <c r="C297" s="8"/>
      <c r="D297" s="42"/>
      <c r="E297" s="42"/>
      <c r="F297" s="42"/>
      <c r="G297" s="42"/>
      <c r="H297" s="42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</row>
    <row r="298">
      <c r="A298" s="8"/>
      <c r="B298" s="8"/>
      <c r="C298" s="8"/>
      <c r="D298" s="42"/>
      <c r="E298" s="42"/>
      <c r="F298" s="42"/>
      <c r="G298" s="42"/>
      <c r="H298" s="42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</row>
    <row r="299">
      <c r="A299" s="8"/>
      <c r="B299" s="8"/>
      <c r="C299" s="8"/>
      <c r="D299" s="42"/>
      <c r="E299" s="42"/>
      <c r="F299" s="42"/>
      <c r="G299" s="42"/>
      <c r="H299" s="42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</row>
    <row r="300">
      <c r="A300" s="8"/>
      <c r="B300" s="8"/>
      <c r="C300" s="8"/>
      <c r="D300" s="42"/>
      <c r="E300" s="42"/>
      <c r="F300" s="42"/>
      <c r="G300" s="42"/>
      <c r="H300" s="42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</row>
    <row r="301">
      <c r="A301" s="8"/>
      <c r="B301" s="8"/>
      <c r="C301" s="8"/>
      <c r="D301" s="42"/>
      <c r="E301" s="42"/>
      <c r="F301" s="42"/>
      <c r="G301" s="42"/>
      <c r="H301" s="42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</row>
    <row r="302">
      <c r="A302" s="8"/>
      <c r="B302" s="8"/>
      <c r="C302" s="8"/>
      <c r="D302" s="42"/>
      <c r="E302" s="42"/>
      <c r="F302" s="42"/>
      <c r="G302" s="42"/>
      <c r="H302" s="42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</row>
    <row r="303">
      <c r="A303" s="8"/>
      <c r="B303" s="8"/>
      <c r="C303" s="8"/>
      <c r="D303" s="42"/>
      <c r="E303" s="42"/>
      <c r="F303" s="42"/>
      <c r="G303" s="42"/>
      <c r="H303" s="42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</row>
    <row r="304">
      <c r="A304" s="8"/>
      <c r="B304" s="8"/>
      <c r="C304" s="8"/>
      <c r="D304" s="42"/>
      <c r="E304" s="42"/>
      <c r="F304" s="42"/>
      <c r="G304" s="42"/>
      <c r="H304" s="42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</row>
    <row r="305">
      <c r="A305" s="8"/>
      <c r="B305" s="8"/>
      <c r="C305" s="8"/>
      <c r="D305" s="42"/>
      <c r="E305" s="42"/>
      <c r="F305" s="42"/>
      <c r="G305" s="42"/>
      <c r="H305" s="42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</row>
    <row r="306">
      <c r="A306" s="8"/>
      <c r="B306" s="8"/>
      <c r="C306" s="8"/>
      <c r="D306" s="42"/>
      <c r="E306" s="42"/>
      <c r="F306" s="42"/>
      <c r="G306" s="42"/>
      <c r="H306" s="42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</row>
    <row r="307">
      <c r="A307" s="8"/>
      <c r="B307" s="8"/>
      <c r="C307" s="8"/>
      <c r="D307" s="42"/>
      <c r="E307" s="42"/>
      <c r="F307" s="42"/>
      <c r="G307" s="42"/>
      <c r="H307" s="42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</row>
    <row r="308">
      <c r="A308" s="8"/>
      <c r="B308" s="8"/>
      <c r="C308" s="8"/>
      <c r="D308" s="42"/>
      <c r="E308" s="42"/>
      <c r="F308" s="42"/>
      <c r="G308" s="42"/>
      <c r="H308" s="42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</row>
    <row r="309">
      <c r="A309" s="8"/>
      <c r="B309" s="8"/>
      <c r="C309" s="8"/>
      <c r="D309" s="42"/>
      <c r="E309" s="42"/>
      <c r="F309" s="42"/>
      <c r="G309" s="42"/>
      <c r="H309" s="42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</row>
    <row r="310">
      <c r="A310" s="8"/>
      <c r="B310" s="8"/>
      <c r="C310" s="8"/>
      <c r="D310" s="42"/>
      <c r="E310" s="42"/>
      <c r="F310" s="42"/>
      <c r="G310" s="42"/>
      <c r="H310" s="42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</row>
    <row r="311">
      <c r="A311" s="8"/>
      <c r="B311" s="8"/>
      <c r="C311" s="8"/>
      <c r="D311" s="42"/>
      <c r="E311" s="42"/>
      <c r="F311" s="42"/>
      <c r="G311" s="42"/>
      <c r="H311" s="42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</row>
    <row r="312">
      <c r="A312" s="8"/>
      <c r="B312" s="8"/>
      <c r="C312" s="8"/>
      <c r="D312" s="42"/>
      <c r="E312" s="42"/>
      <c r="F312" s="42"/>
      <c r="G312" s="42"/>
      <c r="H312" s="42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</row>
    <row r="313">
      <c r="A313" s="8"/>
      <c r="B313" s="8"/>
      <c r="C313" s="8"/>
      <c r="D313" s="42"/>
      <c r="E313" s="42"/>
      <c r="F313" s="42"/>
      <c r="G313" s="42"/>
      <c r="H313" s="42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</row>
    <row r="314">
      <c r="A314" s="8"/>
      <c r="B314" s="8"/>
      <c r="C314" s="8"/>
      <c r="D314" s="42"/>
      <c r="E314" s="42"/>
      <c r="F314" s="42"/>
      <c r="G314" s="42"/>
      <c r="H314" s="42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</row>
    <row r="315">
      <c r="A315" s="8"/>
      <c r="B315" s="8"/>
      <c r="C315" s="8"/>
      <c r="D315" s="42"/>
      <c r="E315" s="42"/>
      <c r="F315" s="42"/>
      <c r="G315" s="42"/>
      <c r="H315" s="42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</row>
    <row r="316">
      <c r="A316" s="8"/>
      <c r="B316" s="8"/>
      <c r="C316" s="8"/>
      <c r="D316" s="42"/>
      <c r="E316" s="42"/>
      <c r="F316" s="42"/>
      <c r="G316" s="42"/>
      <c r="H316" s="42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</row>
    <row r="317">
      <c r="A317" s="8"/>
      <c r="B317" s="8"/>
      <c r="C317" s="8"/>
      <c r="D317" s="42"/>
      <c r="E317" s="42"/>
      <c r="F317" s="42"/>
      <c r="G317" s="42"/>
      <c r="H317" s="42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</row>
    <row r="318">
      <c r="A318" s="8"/>
      <c r="B318" s="8"/>
      <c r="C318" s="8"/>
      <c r="D318" s="42"/>
      <c r="E318" s="42"/>
      <c r="F318" s="42"/>
      <c r="G318" s="42"/>
      <c r="H318" s="42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</row>
    <row r="319">
      <c r="A319" s="8"/>
      <c r="B319" s="8"/>
      <c r="C319" s="8"/>
      <c r="D319" s="42"/>
      <c r="E319" s="42"/>
      <c r="F319" s="42"/>
      <c r="G319" s="42"/>
      <c r="H319" s="42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</row>
    <row r="320">
      <c r="A320" s="8"/>
      <c r="B320" s="8"/>
      <c r="C320" s="8"/>
      <c r="D320" s="42"/>
      <c r="E320" s="42"/>
      <c r="F320" s="42"/>
      <c r="G320" s="42"/>
      <c r="H320" s="42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</row>
    <row r="321">
      <c r="A321" s="8"/>
      <c r="B321" s="8"/>
      <c r="C321" s="8"/>
      <c r="D321" s="42"/>
      <c r="E321" s="42"/>
      <c r="F321" s="42"/>
      <c r="G321" s="42"/>
      <c r="H321" s="42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</row>
    <row r="322">
      <c r="A322" s="8"/>
      <c r="B322" s="8"/>
      <c r="C322" s="8"/>
      <c r="D322" s="42"/>
      <c r="E322" s="42"/>
      <c r="F322" s="42"/>
      <c r="G322" s="42"/>
      <c r="H322" s="42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</row>
    <row r="323">
      <c r="A323" s="8"/>
      <c r="B323" s="8"/>
      <c r="C323" s="8"/>
      <c r="D323" s="42"/>
      <c r="E323" s="42"/>
      <c r="F323" s="42"/>
      <c r="G323" s="42"/>
      <c r="H323" s="42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</row>
    <row r="324">
      <c r="A324" s="8"/>
      <c r="B324" s="8"/>
      <c r="C324" s="8"/>
      <c r="D324" s="42"/>
      <c r="E324" s="42"/>
      <c r="F324" s="42"/>
      <c r="G324" s="42"/>
      <c r="H324" s="42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</row>
    <row r="325">
      <c r="A325" s="8"/>
      <c r="B325" s="8"/>
      <c r="C325" s="8"/>
      <c r="D325" s="42"/>
      <c r="E325" s="42"/>
      <c r="F325" s="42"/>
      <c r="G325" s="42"/>
      <c r="H325" s="42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</row>
    <row r="326">
      <c r="A326" s="8"/>
      <c r="B326" s="8"/>
      <c r="C326" s="8"/>
      <c r="D326" s="42"/>
      <c r="E326" s="42"/>
      <c r="F326" s="42"/>
      <c r="G326" s="42"/>
      <c r="H326" s="42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</row>
    <row r="327">
      <c r="A327" s="8"/>
      <c r="B327" s="8"/>
      <c r="C327" s="8"/>
      <c r="D327" s="42"/>
      <c r="E327" s="42"/>
      <c r="F327" s="42"/>
      <c r="G327" s="42"/>
      <c r="H327" s="42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</row>
    <row r="328">
      <c r="A328" s="8"/>
      <c r="B328" s="8"/>
      <c r="C328" s="8"/>
      <c r="D328" s="42"/>
      <c r="E328" s="42"/>
      <c r="F328" s="42"/>
      <c r="G328" s="42"/>
      <c r="H328" s="42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</row>
    <row r="329">
      <c r="A329" s="8"/>
      <c r="B329" s="8"/>
      <c r="C329" s="8"/>
      <c r="D329" s="42"/>
      <c r="E329" s="42"/>
      <c r="F329" s="42"/>
      <c r="G329" s="42"/>
      <c r="H329" s="42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</row>
    <row r="330">
      <c r="A330" s="8"/>
      <c r="B330" s="8"/>
      <c r="C330" s="8"/>
      <c r="D330" s="42"/>
      <c r="E330" s="42"/>
      <c r="F330" s="42"/>
      <c r="G330" s="42"/>
      <c r="H330" s="42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</row>
    <row r="331">
      <c r="A331" s="8"/>
      <c r="B331" s="8"/>
      <c r="C331" s="8"/>
      <c r="D331" s="42"/>
      <c r="E331" s="42"/>
      <c r="F331" s="42"/>
      <c r="G331" s="42"/>
      <c r="H331" s="42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</row>
    <row r="332">
      <c r="A332" s="8"/>
      <c r="B332" s="8"/>
      <c r="C332" s="8"/>
      <c r="D332" s="42"/>
      <c r="E332" s="42"/>
      <c r="F332" s="42"/>
      <c r="G332" s="42"/>
      <c r="H332" s="42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</row>
    <row r="333">
      <c r="A333" s="8"/>
      <c r="B333" s="8"/>
      <c r="C333" s="8"/>
      <c r="D333" s="42"/>
      <c r="E333" s="42"/>
      <c r="F333" s="42"/>
      <c r="G333" s="42"/>
      <c r="H333" s="42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</row>
    <row r="334">
      <c r="A334" s="8"/>
      <c r="B334" s="8"/>
      <c r="C334" s="8"/>
      <c r="D334" s="42"/>
      <c r="E334" s="42"/>
      <c r="F334" s="42"/>
      <c r="G334" s="42"/>
      <c r="H334" s="42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</row>
    <row r="335">
      <c r="A335" s="8"/>
      <c r="B335" s="8"/>
      <c r="C335" s="8"/>
      <c r="D335" s="42"/>
      <c r="E335" s="42"/>
      <c r="F335" s="42"/>
      <c r="G335" s="42"/>
      <c r="H335" s="42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</row>
    <row r="336">
      <c r="A336" s="8"/>
      <c r="B336" s="8"/>
      <c r="C336" s="8"/>
      <c r="D336" s="42"/>
      <c r="E336" s="42"/>
      <c r="F336" s="42"/>
      <c r="G336" s="42"/>
      <c r="H336" s="42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</row>
    <row r="337">
      <c r="A337" s="8"/>
      <c r="B337" s="8"/>
      <c r="C337" s="8"/>
      <c r="D337" s="42"/>
      <c r="E337" s="42"/>
      <c r="F337" s="42"/>
      <c r="G337" s="42"/>
      <c r="H337" s="42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</row>
    <row r="338">
      <c r="A338" s="8"/>
      <c r="B338" s="8"/>
      <c r="C338" s="8"/>
      <c r="D338" s="42"/>
      <c r="E338" s="42"/>
      <c r="F338" s="42"/>
      <c r="G338" s="42"/>
      <c r="H338" s="42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</row>
    <row r="339">
      <c r="A339" s="8"/>
      <c r="B339" s="8"/>
      <c r="C339" s="8"/>
      <c r="D339" s="42"/>
      <c r="E339" s="42"/>
      <c r="F339" s="42"/>
      <c r="G339" s="42"/>
      <c r="H339" s="42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</row>
    <row r="340">
      <c r="A340" s="8"/>
      <c r="B340" s="8"/>
      <c r="C340" s="8"/>
      <c r="D340" s="42"/>
      <c r="E340" s="42"/>
      <c r="F340" s="42"/>
      <c r="G340" s="42"/>
      <c r="H340" s="42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</row>
    <row r="341">
      <c r="A341" s="8"/>
      <c r="B341" s="8"/>
      <c r="C341" s="8"/>
      <c r="D341" s="42"/>
      <c r="E341" s="42"/>
      <c r="F341" s="42"/>
      <c r="G341" s="42"/>
      <c r="H341" s="42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</row>
    <row r="342">
      <c r="A342" s="8"/>
      <c r="B342" s="8"/>
      <c r="C342" s="8"/>
      <c r="D342" s="42"/>
      <c r="E342" s="42"/>
      <c r="F342" s="42"/>
      <c r="G342" s="42"/>
      <c r="H342" s="42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</row>
    <row r="343">
      <c r="A343" s="8"/>
      <c r="B343" s="8"/>
      <c r="C343" s="8"/>
      <c r="D343" s="42"/>
      <c r="E343" s="42"/>
      <c r="F343" s="42"/>
      <c r="G343" s="42"/>
      <c r="H343" s="42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</row>
    <row r="344">
      <c r="A344" s="8"/>
      <c r="B344" s="8"/>
      <c r="C344" s="8"/>
      <c r="D344" s="42"/>
      <c r="E344" s="42"/>
      <c r="F344" s="42"/>
      <c r="G344" s="42"/>
      <c r="H344" s="42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</row>
    <row r="345">
      <c r="A345" s="8"/>
      <c r="B345" s="8"/>
      <c r="C345" s="8"/>
      <c r="D345" s="42"/>
      <c r="E345" s="42"/>
      <c r="F345" s="42"/>
      <c r="G345" s="42"/>
      <c r="H345" s="42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</row>
    <row r="346">
      <c r="A346" s="8"/>
      <c r="B346" s="8"/>
      <c r="C346" s="8"/>
      <c r="D346" s="42"/>
      <c r="E346" s="42"/>
      <c r="F346" s="42"/>
      <c r="G346" s="42"/>
      <c r="H346" s="42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</row>
    <row r="347">
      <c r="A347" s="8"/>
      <c r="B347" s="8"/>
      <c r="C347" s="8"/>
      <c r="D347" s="42"/>
      <c r="E347" s="42"/>
      <c r="F347" s="42"/>
      <c r="G347" s="42"/>
      <c r="H347" s="42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</row>
    <row r="348">
      <c r="A348" s="8"/>
      <c r="B348" s="8"/>
      <c r="C348" s="8"/>
      <c r="D348" s="42"/>
      <c r="E348" s="42"/>
      <c r="F348" s="42"/>
      <c r="G348" s="42"/>
      <c r="H348" s="42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</row>
    <row r="349">
      <c r="A349" s="8"/>
      <c r="B349" s="8"/>
      <c r="C349" s="8"/>
      <c r="D349" s="42"/>
      <c r="E349" s="42"/>
      <c r="F349" s="42"/>
      <c r="G349" s="42"/>
      <c r="H349" s="42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</row>
    <row r="350">
      <c r="A350" s="8"/>
      <c r="B350" s="8"/>
      <c r="C350" s="8"/>
      <c r="D350" s="42"/>
      <c r="E350" s="42"/>
      <c r="F350" s="42"/>
      <c r="G350" s="42"/>
      <c r="H350" s="42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</row>
    <row r="351">
      <c r="A351" s="8"/>
      <c r="B351" s="8"/>
      <c r="C351" s="8"/>
      <c r="D351" s="42"/>
      <c r="E351" s="42"/>
      <c r="F351" s="42"/>
      <c r="G351" s="42"/>
      <c r="H351" s="42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</row>
    <row r="352">
      <c r="A352" s="8"/>
      <c r="B352" s="8"/>
      <c r="C352" s="8"/>
      <c r="D352" s="42"/>
      <c r="E352" s="42"/>
      <c r="F352" s="42"/>
      <c r="G352" s="42"/>
      <c r="H352" s="42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</row>
    <row r="353">
      <c r="A353" s="8"/>
      <c r="B353" s="8"/>
      <c r="C353" s="8"/>
      <c r="D353" s="42"/>
      <c r="E353" s="42"/>
      <c r="F353" s="42"/>
      <c r="G353" s="42"/>
      <c r="H353" s="42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</row>
    <row r="354">
      <c r="A354" s="8"/>
      <c r="B354" s="8"/>
      <c r="C354" s="8"/>
      <c r="D354" s="42"/>
      <c r="E354" s="42"/>
      <c r="F354" s="42"/>
      <c r="G354" s="42"/>
      <c r="H354" s="42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</row>
    <row r="355">
      <c r="A355" s="8"/>
      <c r="B355" s="8"/>
      <c r="C355" s="8"/>
      <c r="D355" s="42"/>
      <c r="E355" s="42"/>
      <c r="F355" s="42"/>
      <c r="G355" s="42"/>
      <c r="H355" s="42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</row>
    <row r="356">
      <c r="A356" s="8"/>
      <c r="B356" s="8"/>
      <c r="C356" s="8"/>
      <c r="D356" s="42"/>
      <c r="E356" s="42"/>
      <c r="F356" s="42"/>
      <c r="G356" s="42"/>
      <c r="H356" s="42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</row>
    <row r="357">
      <c r="A357" s="8"/>
      <c r="B357" s="8"/>
      <c r="C357" s="8"/>
      <c r="D357" s="42"/>
      <c r="E357" s="42"/>
      <c r="F357" s="42"/>
      <c r="G357" s="42"/>
      <c r="H357" s="42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</row>
    <row r="358">
      <c r="A358" s="8"/>
      <c r="B358" s="8"/>
      <c r="C358" s="8"/>
      <c r="D358" s="42"/>
      <c r="E358" s="42"/>
      <c r="F358" s="42"/>
      <c r="G358" s="42"/>
      <c r="H358" s="42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</row>
    <row r="359">
      <c r="A359" s="8"/>
      <c r="B359" s="8"/>
      <c r="C359" s="8"/>
      <c r="D359" s="42"/>
      <c r="E359" s="42"/>
      <c r="F359" s="42"/>
      <c r="G359" s="42"/>
      <c r="H359" s="42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</row>
    <row r="360">
      <c r="A360" s="8"/>
      <c r="B360" s="8"/>
      <c r="C360" s="8"/>
      <c r="D360" s="42"/>
      <c r="E360" s="42"/>
      <c r="F360" s="42"/>
      <c r="G360" s="42"/>
      <c r="H360" s="42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</row>
    <row r="361">
      <c r="A361" s="8"/>
      <c r="B361" s="8"/>
      <c r="C361" s="8"/>
      <c r="D361" s="42"/>
      <c r="E361" s="42"/>
      <c r="F361" s="42"/>
      <c r="G361" s="42"/>
      <c r="H361" s="42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</row>
    <row r="362">
      <c r="A362" s="8"/>
      <c r="B362" s="8"/>
      <c r="C362" s="8"/>
      <c r="D362" s="42"/>
      <c r="E362" s="42"/>
      <c r="F362" s="42"/>
      <c r="G362" s="42"/>
      <c r="H362" s="42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</row>
    <row r="363">
      <c r="A363" s="8"/>
      <c r="B363" s="8"/>
      <c r="C363" s="8"/>
      <c r="D363" s="42"/>
      <c r="E363" s="42"/>
      <c r="F363" s="42"/>
      <c r="G363" s="42"/>
      <c r="H363" s="42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</row>
    <row r="364">
      <c r="A364" s="8"/>
      <c r="B364" s="8"/>
      <c r="C364" s="8"/>
      <c r="D364" s="42"/>
      <c r="E364" s="42"/>
      <c r="F364" s="42"/>
      <c r="G364" s="42"/>
      <c r="H364" s="42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</row>
    <row r="365">
      <c r="A365" s="8"/>
      <c r="B365" s="8"/>
      <c r="C365" s="8"/>
      <c r="D365" s="42"/>
      <c r="E365" s="42"/>
      <c r="F365" s="42"/>
      <c r="G365" s="42"/>
      <c r="H365" s="42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</row>
    <row r="366">
      <c r="A366" s="8"/>
      <c r="B366" s="8"/>
      <c r="C366" s="8"/>
      <c r="D366" s="42"/>
      <c r="E366" s="42"/>
      <c r="F366" s="42"/>
      <c r="G366" s="42"/>
      <c r="H366" s="42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</row>
    <row r="367">
      <c r="A367" s="8"/>
      <c r="B367" s="8"/>
      <c r="C367" s="8"/>
      <c r="D367" s="42"/>
      <c r="E367" s="42"/>
      <c r="F367" s="42"/>
      <c r="G367" s="42"/>
      <c r="H367" s="42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</row>
    <row r="368">
      <c r="A368" s="8"/>
      <c r="B368" s="8"/>
      <c r="C368" s="8"/>
      <c r="D368" s="42"/>
      <c r="E368" s="42"/>
      <c r="F368" s="42"/>
      <c r="G368" s="42"/>
      <c r="H368" s="42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</row>
    <row r="369">
      <c r="A369" s="8"/>
      <c r="B369" s="8"/>
      <c r="C369" s="8"/>
      <c r="D369" s="42"/>
      <c r="E369" s="42"/>
      <c r="F369" s="42"/>
      <c r="G369" s="42"/>
      <c r="H369" s="42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</row>
    <row r="370">
      <c r="A370" s="8"/>
      <c r="B370" s="8"/>
      <c r="C370" s="8"/>
      <c r="D370" s="42"/>
      <c r="E370" s="42"/>
      <c r="F370" s="42"/>
      <c r="G370" s="42"/>
      <c r="H370" s="42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</row>
    <row r="371">
      <c r="A371" s="8"/>
      <c r="B371" s="8"/>
      <c r="C371" s="8"/>
      <c r="D371" s="42"/>
      <c r="E371" s="42"/>
      <c r="F371" s="42"/>
      <c r="G371" s="42"/>
      <c r="H371" s="42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</row>
    <row r="372">
      <c r="A372" s="8"/>
      <c r="B372" s="8"/>
      <c r="C372" s="8"/>
      <c r="D372" s="42"/>
      <c r="E372" s="42"/>
      <c r="F372" s="42"/>
      <c r="G372" s="42"/>
      <c r="H372" s="42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</row>
    <row r="373">
      <c r="A373" s="8"/>
      <c r="B373" s="8"/>
      <c r="C373" s="8"/>
      <c r="D373" s="42"/>
      <c r="E373" s="42"/>
      <c r="F373" s="42"/>
      <c r="G373" s="42"/>
      <c r="H373" s="42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</row>
    <row r="374">
      <c r="A374" s="8"/>
      <c r="B374" s="8"/>
      <c r="C374" s="8"/>
      <c r="D374" s="42"/>
      <c r="E374" s="42"/>
      <c r="F374" s="42"/>
      <c r="G374" s="42"/>
      <c r="H374" s="42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</row>
    <row r="375">
      <c r="A375" s="8"/>
      <c r="B375" s="8"/>
      <c r="C375" s="8"/>
      <c r="D375" s="42"/>
      <c r="E375" s="42"/>
      <c r="F375" s="42"/>
      <c r="G375" s="42"/>
      <c r="H375" s="42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</row>
    <row r="376">
      <c r="A376" s="8"/>
      <c r="B376" s="8"/>
      <c r="C376" s="8"/>
      <c r="D376" s="42"/>
      <c r="E376" s="42"/>
      <c r="F376" s="42"/>
      <c r="G376" s="42"/>
      <c r="H376" s="42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</row>
    <row r="377">
      <c r="A377" s="8"/>
      <c r="B377" s="8"/>
      <c r="C377" s="8"/>
      <c r="D377" s="42"/>
      <c r="E377" s="42"/>
      <c r="F377" s="42"/>
      <c r="G377" s="42"/>
      <c r="H377" s="42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</row>
    <row r="378">
      <c r="A378" s="8"/>
      <c r="B378" s="8"/>
      <c r="C378" s="8"/>
      <c r="D378" s="42"/>
      <c r="E378" s="42"/>
      <c r="F378" s="42"/>
      <c r="G378" s="42"/>
      <c r="H378" s="42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</row>
    <row r="379">
      <c r="A379" s="8"/>
      <c r="B379" s="8"/>
      <c r="C379" s="8"/>
      <c r="D379" s="42"/>
      <c r="E379" s="42"/>
      <c r="F379" s="42"/>
      <c r="G379" s="42"/>
      <c r="H379" s="42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</row>
    <row r="380">
      <c r="A380" s="8"/>
      <c r="B380" s="8"/>
      <c r="C380" s="8"/>
      <c r="D380" s="42"/>
      <c r="E380" s="42"/>
      <c r="F380" s="42"/>
      <c r="G380" s="42"/>
      <c r="H380" s="42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</row>
    <row r="381">
      <c r="A381" s="8"/>
      <c r="B381" s="8"/>
      <c r="C381" s="8"/>
      <c r="D381" s="42"/>
      <c r="E381" s="42"/>
      <c r="F381" s="42"/>
      <c r="G381" s="42"/>
      <c r="H381" s="42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</row>
    <row r="382">
      <c r="A382" s="8"/>
      <c r="B382" s="8"/>
      <c r="C382" s="8"/>
      <c r="D382" s="42"/>
      <c r="E382" s="42"/>
      <c r="F382" s="42"/>
      <c r="G382" s="42"/>
      <c r="H382" s="42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</row>
    <row r="383">
      <c r="A383" s="8"/>
      <c r="B383" s="8"/>
      <c r="C383" s="8"/>
      <c r="D383" s="42"/>
      <c r="E383" s="42"/>
      <c r="F383" s="42"/>
      <c r="G383" s="42"/>
      <c r="H383" s="42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</row>
    <row r="384">
      <c r="A384" s="8"/>
      <c r="B384" s="8"/>
      <c r="C384" s="8"/>
      <c r="D384" s="42"/>
      <c r="E384" s="42"/>
      <c r="F384" s="42"/>
      <c r="G384" s="42"/>
      <c r="H384" s="42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</row>
    <row r="385">
      <c r="A385" s="8"/>
      <c r="B385" s="8"/>
      <c r="C385" s="8"/>
      <c r="D385" s="42"/>
      <c r="E385" s="42"/>
      <c r="F385" s="42"/>
      <c r="G385" s="42"/>
      <c r="H385" s="42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</row>
    <row r="386">
      <c r="A386" s="8"/>
      <c r="B386" s="8"/>
      <c r="C386" s="8"/>
      <c r="D386" s="42"/>
      <c r="E386" s="42"/>
      <c r="F386" s="42"/>
      <c r="G386" s="42"/>
      <c r="H386" s="42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</row>
    <row r="387">
      <c r="A387" s="8"/>
      <c r="B387" s="8"/>
      <c r="C387" s="8"/>
      <c r="D387" s="42"/>
      <c r="E387" s="42"/>
      <c r="F387" s="42"/>
      <c r="G387" s="42"/>
      <c r="H387" s="42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</row>
    <row r="388">
      <c r="A388" s="8"/>
      <c r="B388" s="8"/>
      <c r="C388" s="8"/>
      <c r="D388" s="42"/>
      <c r="E388" s="42"/>
      <c r="F388" s="42"/>
      <c r="G388" s="42"/>
      <c r="H388" s="42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</row>
    <row r="389">
      <c r="A389" s="8"/>
      <c r="B389" s="8"/>
      <c r="C389" s="8"/>
      <c r="D389" s="42"/>
      <c r="E389" s="42"/>
      <c r="F389" s="42"/>
      <c r="G389" s="42"/>
      <c r="H389" s="42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</row>
    <row r="390">
      <c r="A390" s="8"/>
      <c r="B390" s="8"/>
      <c r="C390" s="8"/>
      <c r="D390" s="42"/>
      <c r="E390" s="42"/>
      <c r="F390" s="42"/>
      <c r="G390" s="42"/>
      <c r="H390" s="42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</row>
    <row r="391">
      <c r="A391" s="8"/>
      <c r="B391" s="8"/>
      <c r="C391" s="8"/>
      <c r="D391" s="42"/>
      <c r="E391" s="42"/>
      <c r="F391" s="42"/>
      <c r="G391" s="42"/>
      <c r="H391" s="42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</row>
    <row r="392">
      <c r="A392" s="8"/>
      <c r="B392" s="8"/>
      <c r="C392" s="8"/>
      <c r="D392" s="42"/>
      <c r="E392" s="42"/>
      <c r="F392" s="42"/>
      <c r="G392" s="42"/>
      <c r="H392" s="42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</row>
    <row r="393">
      <c r="A393" s="8"/>
      <c r="B393" s="8"/>
      <c r="C393" s="8"/>
      <c r="D393" s="42"/>
      <c r="E393" s="42"/>
      <c r="F393" s="42"/>
      <c r="G393" s="42"/>
      <c r="H393" s="42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</row>
    <row r="394">
      <c r="A394" s="8"/>
      <c r="B394" s="8"/>
      <c r="C394" s="8"/>
      <c r="D394" s="42"/>
      <c r="E394" s="42"/>
      <c r="F394" s="42"/>
      <c r="G394" s="42"/>
      <c r="H394" s="42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</row>
    <row r="395">
      <c r="A395" s="8"/>
      <c r="B395" s="8"/>
      <c r="C395" s="8"/>
      <c r="D395" s="42"/>
      <c r="E395" s="42"/>
      <c r="F395" s="42"/>
      <c r="G395" s="42"/>
      <c r="H395" s="42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</row>
    <row r="396">
      <c r="A396" s="8"/>
      <c r="B396" s="8"/>
      <c r="C396" s="8"/>
      <c r="D396" s="42"/>
      <c r="E396" s="42"/>
      <c r="F396" s="42"/>
      <c r="G396" s="42"/>
      <c r="H396" s="42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</row>
    <row r="397">
      <c r="A397" s="8"/>
      <c r="B397" s="8"/>
      <c r="C397" s="8"/>
      <c r="D397" s="42"/>
      <c r="E397" s="42"/>
      <c r="F397" s="42"/>
      <c r="G397" s="42"/>
      <c r="H397" s="42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</row>
    <row r="398">
      <c r="A398" s="8"/>
      <c r="B398" s="8"/>
      <c r="C398" s="8"/>
      <c r="D398" s="42"/>
      <c r="E398" s="42"/>
      <c r="F398" s="42"/>
      <c r="G398" s="42"/>
      <c r="H398" s="42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</row>
    <row r="399">
      <c r="A399" s="8"/>
      <c r="B399" s="8"/>
      <c r="C399" s="8"/>
      <c r="D399" s="42"/>
      <c r="E399" s="42"/>
      <c r="F399" s="42"/>
      <c r="G399" s="42"/>
      <c r="H399" s="42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</row>
    <row r="400">
      <c r="A400" s="8"/>
      <c r="B400" s="8"/>
      <c r="C400" s="8"/>
      <c r="D400" s="42"/>
      <c r="E400" s="42"/>
      <c r="F400" s="42"/>
      <c r="G400" s="42"/>
      <c r="H400" s="42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</row>
    <row r="401">
      <c r="A401" s="8"/>
      <c r="B401" s="8"/>
      <c r="C401" s="8"/>
      <c r="D401" s="42"/>
      <c r="E401" s="42"/>
      <c r="F401" s="42"/>
      <c r="G401" s="42"/>
      <c r="H401" s="42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</row>
    <row r="402">
      <c r="A402" s="8"/>
      <c r="B402" s="8"/>
      <c r="C402" s="8"/>
      <c r="D402" s="42"/>
      <c r="E402" s="42"/>
      <c r="F402" s="42"/>
      <c r="G402" s="42"/>
      <c r="H402" s="42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</row>
    <row r="403">
      <c r="A403" s="8"/>
      <c r="B403" s="8"/>
      <c r="C403" s="8"/>
      <c r="D403" s="42"/>
      <c r="E403" s="42"/>
      <c r="F403" s="42"/>
      <c r="G403" s="42"/>
      <c r="H403" s="42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</row>
    <row r="404">
      <c r="A404" s="8"/>
      <c r="B404" s="8"/>
      <c r="C404" s="8"/>
      <c r="D404" s="42"/>
      <c r="E404" s="42"/>
      <c r="F404" s="42"/>
      <c r="G404" s="42"/>
      <c r="H404" s="42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</row>
    <row r="405">
      <c r="A405" s="8"/>
      <c r="B405" s="8"/>
      <c r="C405" s="8"/>
      <c r="D405" s="42"/>
      <c r="E405" s="42"/>
      <c r="F405" s="42"/>
      <c r="G405" s="42"/>
      <c r="H405" s="42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</row>
    <row r="406">
      <c r="A406" s="8"/>
      <c r="B406" s="8"/>
      <c r="C406" s="8"/>
      <c r="D406" s="42"/>
      <c r="E406" s="42"/>
      <c r="F406" s="42"/>
      <c r="G406" s="42"/>
      <c r="H406" s="42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</row>
    <row r="407">
      <c r="A407" s="8"/>
      <c r="B407" s="8"/>
      <c r="C407" s="8"/>
      <c r="D407" s="42"/>
      <c r="E407" s="42"/>
      <c r="F407" s="42"/>
      <c r="G407" s="42"/>
      <c r="H407" s="42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</row>
    <row r="408">
      <c r="A408" s="8"/>
      <c r="B408" s="8"/>
      <c r="C408" s="8"/>
      <c r="D408" s="42"/>
      <c r="E408" s="42"/>
      <c r="F408" s="42"/>
      <c r="G408" s="42"/>
      <c r="H408" s="42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</row>
    <row r="409">
      <c r="A409" s="8"/>
      <c r="B409" s="8"/>
      <c r="C409" s="8"/>
      <c r="D409" s="42"/>
      <c r="E409" s="42"/>
      <c r="F409" s="42"/>
      <c r="G409" s="42"/>
      <c r="H409" s="42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</row>
    <row r="410">
      <c r="A410" s="8"/>
      <c r="B410" s="8"/>
      <c r="C410" s="8"/>
      <c r="D410" s="42"/>
      <c r="E410" s="42"/>
      <c r="F410" s="42"/>
      <c r="G410" s="42"/>
      <c r="H410" s="42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</row>
    <row r="411">
      <c r="A411" s="8"/>
      <c r="B411" s="8"/>
      <c r="C411" s="8"/>
      <c r="D411" s="42"/>
      <c r="E411" s="42"/>
      <c r="F411" s="42"/>
      <c r="G411" s="42"/>
      <c r="H411" s="42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</row>
    <row r="412">
      <c r="A412" s="8"/>
      <c r="B412" s="8"/>
      <c r="C412" s="8"/>
      <c r="D412" s="42"/>
      <c r="E412" s="42"/>
      <c r="F412" s="42"/>
      <c r="G412" s="42"/>
      <c r="H412" s="42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</row>
    <row r="413">
      <c r="A413" s="8"/>
      <c r="B413" s="8"/>
      <c r="C413" s="8"/>
      <c r="D413" s="42"/>
      <c r="E413" s="42"/>
      <c r="F413" s="42"/>
      <c r="G413" s="42"/>
      <c r="H413" s="42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</row>
    <row r="414">
      <c r="A414" s="8"/>
      <c r="B414" s="8"/>
      <c r="C414" s="8"/>
      <c r="D414" s="42"/>
      <c r="E414" s="42"/>
      <c r="F414" s="42"/>
      <c r="G414" s="42"/>
      <c r="H414" s="42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</row>
    <row r="415">
      <c r="A415" s="8"/>
      <c r="B415" s="8"/>
      <c r="C415" s="8"/>
      <c r="D415" s="42"/>
      <c r="E415" s="42"/>
      <c r="F415" s="42"/>
      <c r="G415" s="42"/>
      <c r="H415" s="42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</row>
    <row r="416">
      <c r="A416" s="8"/>
      <c r="B416" s="8"/>
      <c r="C416" s="8"/>
      <c r="D416" s="42"/>
      <c r="E416" s="42"/>
      <c r="F416" s="42"/>
      <c r="G416" s="42"/>
      <c r="H416" s="42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</row>
    <row r="417">
      <c r="A417" s="8"/>
      <c r="B417" s="8"/>
      <c r="C417" s="8"/>
      <c r="D417" s="42"/>
      <c r="E417" s="42"/>
      <c r="F417" s="42"/>
      <c r="G417" s="42"/>
      <c r="H417" s="42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</row>
    <row r="418">
      <c r="A418" s="8"/>
      <c r="B418" s="8"/>
      <c r="C418" s="8"/>
      <c r="D418" s="42"/>
      <c r="E418" s="42"/>
      <c r="F418" s="42"/>
      <c r="G418" s="42"/>
      <c r="H418" s="42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</row>
    <row r="419">
      <c r="A419" s="8"/>
      <c r="B419" s="8"/>
      <c r="C419" s="8"/>
      <c r="D419" s="42"/>
      <c r="E419" s="42"/>
      <c r="F419" s="42"/>
      <c r="G419" s="42"/>
      <c r="H419" s="42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</row>
    <row r="420">
      <c r="A420" s="8"/>
      <c r="B420" s="8"/>
      <c r="C420" s="8"/>
      <c r="D420" s="42"/>
      <c r="E420" s="42"/>
      <c r="F420" s="42"/>
      <c r="G420" s="42"/>
      <c r="H420" s="42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</row>
    <row r="421">
      <c r="A421" s="8"/>
      <c r="B421" s="8"/>
      <c r="C421" s="8"/>
      <c r="D421" s="42"/>
      <c r="E421" s="42"/>
      <c r="F421" s="42"/>
      <c r="G421" s="42"/>
      <c r="H421" s="42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</row>
    <row r="422">
      <c r="A422" s="8"/>
      <c r="B422" s="8"/>
      <c r="C422" s="8"/>
      <c r="D422" s="42"/>
      <c r="E422" s="42"/>
      <c r="F422" s="42"/>
      <c r="G422" s="42"/>
      <c r="H422" s="42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</row>
    <row r="423">
      <c r="A423" s="8"/>
      <c r="B423" s="8"/>
      <c r="C423" s="8"/>
      <c r="D423" s="42"/>
      <c r="E423" s="42"/>
      <c r="F423" s="42"/>
      <c r="G423" s="42"/>
      <c r="H423" s="42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</row>
    <row r="424">
      <c r="A424" s="8"/>
      <c r="B424" s="8"/>
      <c r="C424" s="8"/>
      <c r="D424" s="42"/>
      <c r="E424" s="42"/>
      <c r="F424" s="42"/>
      <c r="G424" s="42"/>
      <c r="H424" s="42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</row>
    <row r="425">
      <c r="A425" s="8"/>
      <c r="B425" s="8"/>
      <c r="C425" s="8"/>
      <c r="D425" s="42"/>
      <c r="E425" s="42"/>
      <c r="F425" s="42"/>
      <c r="G425" s="42"/>
      <c r="H425" s="42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</row>
    <row r="426">
      <c r="A426" s="8"/>
      <c r="B426" s="8"/>
      <c r="C426" s="8"/>
      <c r="D426" s="42"/>
      <c r="E426" s="42"/>
      <c r="F426" s="42"/>
      <c r="G426" s="42"/>
      <c r="H426" s="42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</row>
    <row r="427">
      <c r="A427" s="8"/>
      <c r="B427" s="8"/>
      <c r="C427" s="8"/>
      <c r="D427" s="42"/>
      <c r="E427" s="42"/>
      <c r="F427" s="42"/>
      <c r="G427" s="42"/>
      <c r="H427" s="42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</row>
    <row r="428">
      <c r="A428" s="8"/>
      <c r="B428" s="8"/>
      <c r="C428" s="8"/>
      <c r="D428" s="42"/>
      <c r="E428" s="42"/>
      <c r="F428" s="42"/>
      <c r="G428" s="42"/>
      <c r="H428" s="42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</row>
    <row r="429">
      <c r="A429" s="8"/>
      <c r="B429" s="8"/>
      <c r="C429" s="8"/>
      <c r="D429" s="42"/>
      <c r="E429" s="42"/>
      <c r="F429" s="42"/>
      <c r="G429" s="42"/>
      <c r="H429" s="42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</row>
    <row r="430">
      <c r="A430" s="8"/>
      <c r="B430" s="8"/>
      <c r="C430" s="8"/>
      <c r="D430" s="42"/>
      <c r="E430" s="42"/>
      <c r="F430" s="42"/>
      <c r="G430" s="42"/>
      <c r="H430" s="42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</row>
    <row r="431">
      <c r="A431" s="8"/>
      <c r="B431" s="8"/>
      <c r="C431" s="8"/>
      <c r="D431" s="42"/>
      <c r="E431" s="42"/>
      <c r="F431" s="42"/>
      <c r="G431" s="42"/>
      <c r="H431" s="42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</row>
    <row r="432">
      <c r="A432" s="8"/>
      <c r="B432" s="8"/>
      <c r="C432" s="8"/>
      <c r="D432" s="42"/>
      <c r="E432" s="42"/>
      <c r="F432" s="42"/>
      <c r="G432" s="42"/>
      <c r="H432" s="42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</row>
    <row r="433">
      <c r="A433" s="8"/>
      <c r="B433" s="8"/>
      <c r="C433" s="8"/>
      <c r="D433" s="42"/>
      <c r="E433" s="42"/>
      <c r="F433" s="42"/>
      <c r="G433" s="42"/>
      <c r="H433" s="42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</row>
    <row r="434">
      <c r="A434" s="8"/>
      <c r="B434" s="8"/>
      <c r="C434" s="8"/>
      <c r="D434" s="42"/>
      <c r="E434" s="42"/>
      <c r="F434" s="42"/>
      <c r="G434" s="42"/>
      <c r="H434" s="42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</row>
    <row r="435">
      <c r="A435" s="8"/>
      <c r="B435" s="8"/>
      <c r="C435" s="8"/>
      <c r="D435" s="42"/>
      <c r="E435" s="42"/>
      <c r="F435" s="42"/>
      <c r="G435" s="42"/>
      <c r="H435" s="42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</row>
    <row r="436">
      <c r="A436" s="8"/>
      <c r="B436" s="8"/>
      <c r="C436" s="8"/>
      <c r="D436" s="42"/>
      <c r="E436" s="42"/>
      <c r="F436" s="42"/>
      <c r="G436" s="42"/>
      <c r="H436" s="42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</row>
    <row r="437">
      <c r="A437" s="8"/>
      <c r="B437" s="8"/>
      <c r="C437" s="8"/>
      <c r="D437" s="42"/>
      <c r="E437" s="42"/>
      <c r="F437" s="42"/>
      <c r="G437" s="42"/>
      <c r="H437" s="42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</row>
    <row r="438">
      <c r="A438" s="8"/>
      <c r="B438" s="8"/>
      <c r="C438" s="8"/>
      <c r="D438" s="42"/>
      <c r="E438" s="42"/>
      <c r="F438" s="42"/>
      <c r="G438" s="42"/>
      <c r="H438" s="42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</row>
    <row r="439">
      <c r="A439" s="8"/>
      <c r="B439" s="8"/>
      <c r="C439" s="8"/>
      <c r="D439" s="42"/>
      <c r="E439" s="42"/>
      <c r="F439" s="42"/>
      <c r="G439" s="42"/>
      <c r="H439" s="42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</row>
    <row r="440">
      <c r="A440" s="8"/>
      <c r="B440" s="8"/>
      <c r="C440" s="8"/>
      <c r="D440" s="42"/>
      <c r="E440" s="42"/>
      <c r="F440" s="42"/>
      <c r="G440" s="42"/>
      <c r="H440" s="42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</row>
    <row r="441">
      <c r="A441" s="8"/>
      <c r="B441" s="8"/>
      <c r="C441" s="8"/>
      <c r="D441" s="42"/>
      <c r="E441" s="42"/>
      <c r="F441" s="42"/>
      <c r="G441" s="42"/>
      <c r="H441" s="42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</row>
    <row r="442">
      <c r="A442" s="8"/>
      <c r="B442" s="8"/>
      <c r="C442" s="8"/>
      <c r="D442" s="42"/>
      <c r="E442" s="42"/>
      <c r="F442" s="42"/>
      <c r="G442" s="42"/>
      <c r="H442" s="42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</row>
    <row r="443">
      <c r="A443" s="8"/>
      <c r="B443" s="8"/>
      <c r="C443" s="8"/>
      <c r="D443" s="42"/>
      <c r="E443" s="42"/>
      <c r="F443" s="42"/>
      <c r="G443" s="42"/>
      <c r="H443" s="42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</row>
    <row r="444">
      <c r="A444" s="8"/>
      <c r="B444" s="8"/>
      <c r="C444" s="8"/>
      <c r="D444" s="42"/>
      <c r="E444" s="42"/>
      <c r="F444" s="42"/>
      <c r="G444" s="42"/>
      <c r="H444" s="42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</row>
    <row r="445">
      <c r="A445" s="8"/>
      <c r="B445" s="8"/>
      <c r="C445" s="8"/>
      <c r="D445" s="42"/>
      <c r="E445" s="42"/>
      <c r="F445" s="42"/>
      <c r="G445" s="42"/>
      <c r="H445" s="42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</row>
    <row r="446">
      <c r="A446" s="8"/>
      <c r="B446" s="8"/>
      <c r="C446" s="8"/>
      <c r="D446" s="42"/>
      <c r="E446" s="42"/>
      <c r="F446" s="42"/>
      <c r="G446" s="42"/>
      <c r="H446" s="42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</row>
    <row r="447">
      <c r="A447" s="8"/>
      <c r="B447" s="8"/>
      <c r="C447" s="8"/>
      <c r="D447" s="42"/>
      <c r="E447" s="42"/>
      <c r="F447" s="42"/>
      <c r="G447" s="42"/>
      <c r="H447" s="42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</row>
    <row r="448">
      <c r="A448" s="8"/>
      <c r="B448" s="8"/>
      <c r="C448" s="8"/>
      <c r="D448" s="42"/>
      <c r="E448" s="42"/>
      <c r="F448" s="42"/>
      <c r="G448" s="42"/>
      <c r="H448" s="42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</row>
    <row r="449">
      <c r="A449" s="8"/>
      <c r="B449" s="8"/>
      <c r="C449" s="8"/>
      <c r="D449" s="42"/>
      <c r="E449" s="42"/>
      <c r="F449" s="42"/>
      <c r="G449" s="42"/>
      <c r="H449" s="42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</row>
    <row r="450">
      <c r="A450" s="8"/>
      <c r="B450" s="8"/>
      <c r="C450" s="8"/>
      <c r="D450" s="42"/>
      <c r="E450" s="42"/>
      <c r="F450" s="42"/>
      <c r="G450" s="42"/>
      <c r="H450" s="42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</row>
    <row r="451">
      <c r="A451" s="8"/>
      <c r="B451" s="8"/>
      <c r="C451" s="8"/>
      <c r="D451" s="42"/>
      <c r="E451" s="42"/>
      <c r="F451" s="42"/>
      <c r="G451" s="42"/>
      <c r="H451" s="42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</row>
    <row r="452">
      <c r="A452" s="8"/>
      <c r="B452" s="8"/>
      <c r="C452" s="8"/>
      <c r="D452" s="42"/>
      <c r="E452" s="42"/>
      <c r="F452" s="42"/>
      <c r="G452" s="42"/>
      <c r="H452" s="42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</row>
    <row r="453">
      <c r="A453" s="8"/>
      <c r="B453" s="8"/>
      <c r="C453" s="8"/>
      <c r="D453" s="42"/>
      <c r="E453" s="42"/>
      <c r="F453" s="42"/>
      <c r="G453" s="42"/>
      <c r="H453" s="42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</row>
    <row r="454">
      <c r="A454" s="8"/>
      <c r="B454" s="8"/>
      <c r="C454" s="8"/>
      <c r="D454" s="42"/>
      <c r="E454" s="42"/>
      <c r="F454" s="42"/>
      <c r="G454" s="42"/>
      <c r="H454" s="42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</row>
    <row r="455">
      <c r="A455" s="8"/>
      <c r="B455" s="8"/>
      <c r="C455" s="8"/>
      <c r="D455" s="42"/>
      <c r="E455" s="42"/>
      <c r="F455" s="42"/>
      <c r="G455" s="42"/>
      <c r="H455" s="42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</row>
    <row r="456">
      <c r="A456" s="8"/>
      <c r="B456" s="8"/>
      <c r="C456" s="8"/>
      <c r="D456" s="42"/>
      <c r="E456" s="42"/>
      <c r="F456" s="42"/>
      <c r="G456" s="42"/>
      <c r="H456" s="42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</row>
    <row r="457">
      <c r="A457" s="8"/>
      <c r="B457" s="8"/>
      <c r="C457" s="8"/>
      <c r="D457" s="42"/>
      <c r="E457" s="42"/>
      <c r="F457" s="42"/>
      <c r="G457" s="42"/>
      <c r="H457" s="42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</row>
    <row r="458">
      <c r="A458" s="8"/>
      <c r="B458" s="8"/>
      <c r="C458" s="8"/>
      <c r="D458" s="42"/>
      <c r="E458" s="42"/>
      <c r="F458" s="42"/>
      <c r="G458" s="42"/>
      <c r="H458" s="42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</row>
    <row r="459">
      <c r="A459" s="8"/>
      <c r="B459" s="8"/>
      <c r="C459" s="8"/>
      <c r="D459" s="42"/>
      <c r="E459" s="42"/>
      <c r="F459" s="42"/>
      <c r="G459" s="42"/>
      <c r="H459" s="42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</row>
    <row r="460">
      <c r="A460" s="8"/>
      <c r="B460" s="8"/>
      <c r="C460" s="8"/>
      <c r="D460" s="42"/>
      <c r="E460" s="42"/>
      <c r="F460" s="42"/>
      <c r="G460" s="42"/>
      <c r="H460" s="42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</row>
    <row r="461">
      <c r="A461" s="8"/>
      <c r="B461" s="8"/>
      <c r="C461" s="8"/>
      <c r="D461" s="42"/>
      <c r="E461" s="42"/>
      <c r="F461" s="42"/>
      <c r="G461" s="42"/>
      <c r="H461" s="42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</row>
    <row r="462">
      <c r="A462" s="8"/>
      <c r="B462" s="8"/>
      <c r="C462" s="8"/>
      <c r="D462" s="42"/>
      <c r="E462" s="42"/>
      <c r="F462" s="42"/>
      <c r="G462" s="42"/>
      <c r="H462" s="42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</row>
    <row r="463">
      <c r="A463" s="8"/>
      <c r="B463" s="8"/>
      <c r="C463" s="8"/>
      <c r="D463" s="42"/>
      <c r="E463" s="42"/>
      <c r="F463" s="42"/>
      <c r="G463" s="42"/>
      <c r="H463" s="42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</row>
    <row r="464">
      <c r="A464" s="8"/>
      <c r="B464" s="8"/>
      <c r="C464" s="8"/>
      <c r="D464" s="42"/>
      <c r="E464" s="42"/>
      <c r="F464" s="42"/>
      <c r="G464" s="42"/>
      <c r="H464" s="42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</row>
    <row r="465">
      <c r="A465" s="8"/>
      <c r="B465" s="8"/>
      <c r="C465" s="8"/>
      <c r="D465" s="42"/>
      <c r="E465" s="42"/>
      <c r="F465" s="42"/>
      <c r="G465" s="42"/>
      <c r="H465" s="42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</row>
    <row r="466">
      <c r="A466" s="8"/>
      <c r="B466" s="8"/>
      <c r="C466" s="8"/>
      <c r="D466" s="42"/>
      <c r="E466" s="42"/>
      <c r="F466" s="42"/>
      <c r="G466" s="42"/>
      <c r="H466" s="42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</row>
    <row r="467">
      <c r="A467" s="8"/>
      <c r="B467" s="8"/>
      <c r="C467" s="8"/>
      <c r="D467" s="42"/>
      <c r="E467" s="42"/>
      <c r="F467" s="42"/>
      <c r="G467" s="42"/>
      <c r="H467" s="42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</row>
    <row r="468">
      <c r="A468" s="8"/>
      <c r="B468" s="8"/>
      <c r="C468" s="8"/>
      <c r="D468" s="42"/>
      <c r="E468" s="42"/>
      <c r="F468" s="42"/>
      <c r="G468" s="42"/>
      <c r="H468" s="42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</row>
    <row r="469">
      <c r="A469" s="8"/>
      <c r="B469" s="8"/>
      <c r="C469" s="8"/>
      <c r="D469" s="42"/>
      <c r="E469" s="42"/>
      <c r="F469" s="42"/>
      <c r="G469" s="42"/>
      <c r="H469" s="42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</row>
    <row r="470">
      <c r="A470" s="8"/>
      <c r="B470" s="8"/>
      <c r="C470" s="8"/>
      <c r="D470" s="42"/>
      <c r="E470" s="42"/>
      <c r="F470" s="42"/>
      <c r="G470" s="42"/>
      <c r="H470" s="42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</row>
    <row r="471">
      <c r="A471" s="8"/>
      <c r="B471" s="8"/>
      <c r="C471" s="8"/>
      <c r="D471" s="42"/>
      <c r="E471" s="42"/>
      <c r="F471" s="42"/>
      <c r="G471" s="42"/>
      <c r="H471" s="42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</row>
    <row r="472">
      <c r="A472" s="8"/>
      <c r="B472" s="8"/>
      <c r="C472" s="8"/>
      <c r="D472" s="42"/>
      <c r="E472" s="42"/>
      <c r="F472" s="42"/>
      <c r="G472" s="42"/>
      <c r="H472" s="42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</row>
    <row r="473">
      <c r="A473" s="8"/>
      <c r="B473" s="8"/>
      <c r="C473" s="8"/>
      <c r="D473" s="42"/>
      <c r="E473" s="42"/>
      <c r="F473" s="42"/>
      <c r="G473" s="42"/>
      <c r="H473" s="42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</row>
    <row r="474">
      <c r="A474" s="8"/>
      <c r="B474" s="8"/>
      <c r="C474" s="8"/>
      <c r="D474" s="42"/>
      <c r="E474" s="42"/>
      <c r="F474" s="42"/>
      <c r="G474" s="42"/>
      <c r="H474" s="42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</row>
    <row r="475">
      <c r="A475" s="8"/>
      <c r="B475" s="8"/>
      <c r="C475" s="8"/>
      <c r="D475" s="42"/>
      <c r="E475" s="42"/>
      <c r="F475" s="42"/>
      <c r="G475" s="42"/>
      <c r="H475" s="42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</row>
    <row r="476">
      <c r="A476" s="8"/>
      <c r="B476" s="8"/>
      <c r="C476" s="8"/>
      <c r="D476" s="42"/>
      <c r="E476" s="42"/>
      <c r="F476" s="42"/>
      <c r="G476" s="42"/>
      <c r="H476" s="42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</row>
    <row r="477">
      <c r="A477" s="8"/>
      <c r="B477" s="8"/>
      <c r="C477" s="8"/>
      <c r="D477" s="42"/>
      <c r="E477" s="42"/>
      <c r="F477" s="42"/>
      <c r="G477" s="42"/>
      <c r="H477" s="42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</row>
    <row r="478">
      <c r="A478" s="8"/>
      <c r="B478" s="8"/>
      <c r="C478" s="8"/>
      <c r="D478" s="42"/>
      <c r="E478" s="42"/>
      <c r="F478" s="42"/>
      <c r="G478" s="42"/>
      <c r="H478" s="42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</row>
    <row r="479">
      <c r="A479" s="8"/>
      <c r="B479" s="8"/>
      <c r="C479" s="8"/>
      <c r="D479" s="42"/>
      <c r="E479" s="42"/>
      <c r="F479" s="42"/>
      <c r="G479" s="42"/>
      <c r="H479" s="42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</row>
    <row r="480">
      <c r="A480" s="8"/>
      <c r="B480" s="8"/>
      <c r="C480" s="8"/>
      <c r="D480" s="42"/>
      <c r="E480" s="42"/>
      <c r="F480" s="42"/>
      <c r="G480" s="42"/>
      <c r="H480" s="42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</row>
    <row r="481">
      <c r="A481" s="8"/>
      <c r="B481" s="8"/>
      <c r="C481" s="8"/>
      <c r="D481" s="42"/>
      <c r="E481" s="42"/>
      <c r="F481" s="42"/>
      <c r="G481" s="42"/>
      <c r="H481" s="42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</row>
    <row r="482">
      <c r="A482" s="8"/>
      <c r="B482" s="8"/>
      <c r="C482" s="8"/>
      <c r="D482" s="42"/>
      <c r="E482" s="42"/>
      <c r="F482" s="42"/>
      <c r="G482" s="42"/>
      <c r="H482" s="42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</row>
    <row r="483">
      <c r="A483" s="8"/>
      <c r="B483" s="8"/>
      <c r="C483" s="8"/>
      <c r="D483" s="42"/>
      <c r="E483" s="42"/>
      <c r="F483" s="42"/>
      <c r="G483" s="42"/>
      <c r="H483" s="42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</row>
    <row r="484">
      <c r="A484" s="8"/>
      <c r="B484" s="8"/>
      <c r="C484" s="8"/>
      <c r="D484" s="42"/>
      <c r="E484" s="42"/>
      <c r="F484" s="42"/>
      <c r="G484" s="42"/>
      <c r="H484" s="42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</row>
    <row r="485">
      <c r="A485" s="8"/>
      <c r="B485" s="8"/>
      <c r="C485" s="8"/>
      <c r="D485" s="42"/>
      <c r="E485" s="42"/>
      <c r="F485" s="42"/>
      <c r="G485" s="42"/>
      <c r="H485" s="42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</row>
    <row r="486">
      <c r="A486" s="8"/>
      <c r="B486" s="8"/>
      <c r="C486" s="8"/>
      <c r="D486" s="42"/>
      <c r="E486" s="42"/>
      <c r="F486" s="42"/>
      <c r="G486" s="42"/>
      <c r="H486" s="42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</row>
    <row r="487">
      <c r="A487" s="8"/>
      <c r="B487" s="8"/>
      <c r="C487" s="8"/>
      <c r="D487" s="42"/>
      <c r="E487" s="42"/>
      <c r="F487" s="42"/>
      <c r="G487" s="42"/>
      <c r="H487" s="42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</row>
    <row r="488">
      <c r="A488" s="8"/>
      <c r="B488" s="8"/>
      <c r="C488" s="8"/>
      <c r="D488" s="42"/>
      <c r="E488" s="42"/>
      <c r="F488" s="42"/>
      <c r="G488" s="42"/>
      <c r="H488" s="42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</row>
    <row r="489">
      <c r="A489" s="8"/>
      <c r="B489" s="8"/>
      <c r="C489" s="8"/>
      <c r="D489" s="42"/>
      <c r="E489" s="42"/>
      <c r="F489" s="42"/>
      <c r="G489" s="42"/>
      <c r="H489" s="42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</row>
    <row r="490">
      <c r="A490" s="8"/>
      <c r="B490" s="8"/>
      <c r="C490" s="8"/>
      <c r="D490" s="42"/>
      <c r="E490" s="42"/>
      <c r="F490" s="42"/>
      <c r="G490" s="42"/>
      <c r="H490" s="42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</row>
    <row r="491">
      <c r="A491" s="8"/>
      <c r="B491" s="8"/>
      <c r="C491" s="8"/>
      <c r="D491" s="42"/>
      <c r="E491" s="42"/>
      <c r="F491" s="42"/>
      <c r="G491" s="42"/>
      <c r="H491" s="42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</row>
    <row r="492">
      <c r="A492" s="8"/>
      <c r="B492" s="8"/>
      <c r="C492" s="8"/>
      <c r="D492" s="42"/>
      <c r="E492" s="42"/>
      <c r="F492" s="42"/>
      <c r="G492" s="42"/>
      <c r="H492" s="42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</row>
    <row r="493">
      <c r="A493" s="8"/>
      <c r="B493" s="8"/>
      <c r="C493" s="8"/>
      <c r="D493" s="42"/>
      <c r="E493" s="42"/>
      <c r="F493" s="42"/>
      <c r="G493" s="42"/>
      <c r="H493" s="42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</row>
    <row r="494">
      <c r="A494" s="8"/>
      <c r="B494" s="8"/>
      <c r="C494" s="8"/>
      <c r="D494" s="42"/>
      <c r="E494" s="42"/>
      <c r="F494" s="42"/>
      <c r="G494" s="42"/>
      <c r="H494" s="42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</row>
    <row r="495">
      <c r="A495" s="8"/>
      <c r="B495" s="8"/>
      <c r="C495" s="8"/>
      <c r="D495" s="42"/>
      <c r="E495" s="42"/>
      <c r="F495" s="42"/>
      <c r="G495" s="42"/>
      <c r="H495" s="42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</row>
    <row r="496">
      <c r="A496" s="8"/>
      <c r="B496" s="8"/>
      <c r="C496" s="8"/>
      <c r="D496" s="42"/>
      <c r="E496" s="42"/>
      <c r="F496" s="42"/>
      <c r="G496" s="42"/>
      <c r="H496" s="42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</row>
    <row r="497">
      <c r="A497" s="8"/>
      <c r="B497" s="8"/>
      <c r="C497" s="8"/>
      <c r="D497" s="42"/>
      <c r="E497" s="42"/>
      <c r="F497" s="42"/>
      <c r="G497" s="42"/>
      <c r="H497" s="42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</row>
    <row r="498">
      <c r="A498" s="8"/>
      <c r="B498" s="8"/>
      <c r="C498" s="8"/>
      <c r="D498" s="42"/>
      <c r="E498" s="42"/>
      <c r="F498" s="42"/>
      <c r="G498" s="42"/>
      <c r="H498" s="42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</row>
    <row r="499">
      <c r="A499" s="8"/>
      <c r="B499" s="8"/>
      <c r="C499" s="8"/>
      <c r="D499" s="42"/>
      <c r="E499" s="42"/>
      <c r="F499" s="42"/>
      <c r="G499" s="42"/>
      <c r="H499" s="42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</row>
    <row r="500">
      <c r="A500" s="8"/>
      <c r="B500" s="8"/>
      <c r="C500" s="8"/>
      <c r="D500" s="42"/>
      <c r="E500" s="42"/>
      <c r="F500" s="42"/>
      <c r="G500" s="42"/>
      <c r="H500" s="42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</row>
    <row r="501">
      <c r="A501" s="8"/>
      <c r="B501" s="8"/>
      <c r="C501" s="8"/>
      <c r="D501" s="42"/>
      <c r="E501" s="42"/>
      <c r="F501" s="42"/>
      <c r="G501" s="42"/>
      <c r="H501" s="42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</row>
    <row r="502">
      <c r="A502" s="8"/>
      <c r="B502" s="8"/>
      <c r="C502" s="8"/>
      <c r="D502" s="42"/>
      <c r="E502" s="42"/>
      <c r="F502" s="42"/>
      <c r="G502" s="42"/>
      <c r="H502" s="42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</row>
    <row r="503">
      <c r="A503" s="8"/>
      <c r="B503" s="8"/>
      <c r="C503" s="8"/>
      <c r="D503" s="42"/>
      <c r="E503" s="42"/>
      <c r="F503" s="42"/>
      <c r="G503" s="42"/>
      <c r="H503" s="42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</row>
    <row r="504">
      <c r="A504" s="8"/>
      <c r="B504" s="8"/>
      <c r="C504" s="8"/>
      <c r="D504" s="42"/>
      <c r="E504" s="42"/>
      <c r="F504" s="42"/>
      <c r="G504" s="42"/>
      <c r="H504" s="42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</row>
    <row r="505">
      <c r="A505" s="8"/>
      <c r="B505" s="8"/>
      <c r="C505" s="8"/>
      <c r="D505" s="42"/>
      <c r="E505" s="42"/>
      <c r="F505" s="42"/>
      <c r="G505" s="42"/>
      <c r="H505" s="42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</row>
    <row r="506">
      <c r="A506" s="8"/>
      <c r="B506" s="8"/>
      <c r="C506" s="8"/>
      <c r="D506" s="42"/>
      <c r="E506" s="42"/>
      <c r="F506" s="42"/>
      <c r="G506" s="42"/>
      <c r="H506" s="42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</row>
    <row r="507">
      <c r="A507" s="8"/>
      <c r="B507" s="8"/>
      <c r="C507" s="8"/>
      <c r="D507" s="42"/>
      <c r="E507" s="42"/>
      <c r="F507" s="42"/>
      <c r="G507" s="42"/>
      <c r="H507" s="42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</row>
    <row r="508">
      <c r="A508" s="8"/>
      <c r="B508" s="8"/>
      <c r="C508" s="8"/>
      <c r="D508" s="42"/>
      <c r="E508" s="42"/>
      <c r="F508" s="42"/>
      <c r="G508" s="42"/>
      <c r="H508" s="42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</row>
    <row r="509">
      <c r="A509" s="8"/>
      <c r="B509" s="8"/>
      <c r="C509" s="8"/>
      <c r="D509" s="42"/>
      <c r="E509" s="42"/>
      <c r="F509" s="42"/>
      <c r="G509" s="42"/>
      <c r="H509" s="42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</row>
    <row r="510">
      <c r="A510" s="8"/>
      <c r="B510" s="8"/>
      <c r="C510" s="8"/>
      <c r="D510" s="42"/>
      <c r="E510" s="42"/>
      <c r="F510" s="42"/>
      <c r="G510" s="42"/>
      <c r="H510" s="42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</row>
    <row r="511">
      <c r="A511" s="8"/>
      <c r="B511" s="8"/>
      <c r="C511" s="8"/>
      <c r="D511" s="42"/>
      <c r="E511" s="42"/>
      <c r="F511" s="42"/>
      <c r="G511" s="42"/>
      <c r="H511" s="42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</row>
    <row r="512">
      <c r="A512" s="8"/>
      <c r="B512" s="8"/>
      <c r="C512" s="8"/>
      <c r="D512" s="42"/>
      <c r="E512" s="42"/>
      <c r="F512" s="42"/>
      <c r="G512" s="42"/>
      <c r="H512" s="42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</row>
    <row r="513">
      <c r="A513" s="8"/>
      <c r="B513" s="8"/>
      <c r="C513" s="8"/>
      <c r="D513" s="42"/>
      <c r="E513" s="42"/>
      <c r="F513" s="42"/>
      <c r="G513" s="42"/>
      <c r="H513" s="42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</row>
    <row r="514">
      <c r="A514" s="8"/>
      <c r="B514" s="8"/>
      <c r="C514" s="8"/>
      <c r="D514" s="42"/>
      <c r="E514" s="42"/>
      <c r="F514" s="42"/>
      <c r="G514" s="42"/>
      <c r="H514" s="42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</row>
    <row r="515">
      <c r="A515" s="8"/>
      <c r="B515" s="8"/>
      <c r="C515" s="8"/>
      <c r="D515" s="42"/>
      <c r="E515" s="42"/>
      <c r="F515" s="42"/>
      <c r="G515" s="42"/>
      <c r="H515" s="42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</row>
    <row r="516">
      <c r="A516" s="8"/>
      <c r="B516" s="8"/>
      <c r="C516" s="8"/>
      <c r="D516" s="42"/>
      <c r="E516" s="42"/>
      <c r="F516" s="42"/>
      <c r="G516" s="42"/>
      <c r="H516" s="42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</row>
    <row r="517">
      <c r="A517" s="8"/>
      <c r="B517" s="8"/>
      <c r="C517" s="8"/>
      <c r="D517" s="42"/>
      <c r="E517" s="42"/>
      <c r="F517" s="42"/>
      <c r="G517" s="42"/>
      <c r="H517" s="42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</row>
    <row r="518">
      <c r="A518" s="8"/>
      <c r="B518" s="8"/>
      <c r="C518" s="8"/>
      <c r="D518" s="42"/>
      <c r="E518" s="42"/>
      <c r="F518" s="42"/>
      <c r="G518" s="42"/>
      <c r="H518" s="42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</row>
    <row r="519">
      <c r="A519" s="8"/>
      <c r="B519" s="8"/>
      <c r="C519" s="8"/>
      <c r="D519" s="42"/>
      <c r="E519" s="42"/>
      <c r="F519" s="42"/>
      <c r="G519" s="42"/>
      <c r="H519" s="42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</row>
    <row r="520">
      <c r="A520" s="8"/>
      <c r="B520" s="8"/>
      <c r="C520" s="8"/>
      <c r="D520" s="42"/>
      <c r="E520" s="42"/>
      <c r="F520" s="42"/>
      <c r="G520" s="42"/>
      <c r="H520" s="42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</row>
    <row r="521">
      <c r="A521" s="8"/>
      <c r="B521" s="8"/>
      <c r="C521" s="8"/>
      <c r="D521" s="42"/>
      <c r="E521" s="42"/>
      <c r="F521" s="42"/>
      <c r="G521" s="42"/>
      <c r="H521" s="42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</row>
    <row r="522">
      <c r="A522" s="8"/>
      <c r="B522" s="8"/>
      <c r="C522" s="8"/>
      <c r="D522" s="42"/>
      <c r="E522" s="42"/>
      <c r="F522" s="42"/>
      <c r="G522" s="42"/>
      <c r="H522" s="42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</row>
    <row r="523">
      <c r="A523" s="8"/>
      <c r="B523" s="8"/>
      <c r="C523" s="8"/>
      <c r="D523" s="42"/>
      <c r="E523" s="42"/>
      <c r="F523" s="42"/>
      <c r="G523" s="42"/>
      <c r="H523" s="42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</row>
    <row r="524">
      <c r="A524" s="8"/>
      <c r="B524" s="8"/>
      <c r="C524" s="8"/>
      <c r="D524" s="42"/>
      <c r="E524" s="42"/>
      <c r="F524" s="42"/>
      <c r="G524" s="42"/>
      <c r="H524" s="42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</row>
    <row r="525">
      <c r="A525" s="8"/>
      <c r="B525" s="8"/>
      <c r="C525" s="8"/>
      <c r="D525" s="42"/>
      <c r="E525" s="42"/>
      <c r="F525" s="42"/>
      <c r="G525" s="42"/>
      <c r="H525" s="42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</row>
    <row r="526">
      <c r="A526" s="8"/>
      <c r="B526" s="8"/>
      <c r="C526" s="8"/>
      <c r="D526" s="42"/>
      <c r="E526" s="42"/>
      <c r="F526" s="42"/>
      <c r="G526" s="42"/>
      <c r="H526" s="42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</row>
    <row r="527">
      <c r="A527" s="8"/>
      <c r="B527" s="8"/>
      <c r="C527" s="8"/>
      <c r="D527" s="42"/>
      <c r="E527" s="42"/>
      <c r="F527" s="42"/>
      <c r="G527" s="42"/>
      <c r="H527" s="42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</row>
    <row r="528">
      <c r="A528" s="8"/>
      <c r="B528" s="8"/>
      <c r="C528" s="8"/>
      <c r="D528" s="42"/>
      <c r="E528" s="42"/>
      <c r="F528" s="42"/>
      <c r="G528" s="42"/>
      <c r="H528" s="42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</row>
    <row r="529">
      <c r="A529" s="8"/>
      <c r="B529" s="8"/>
      <c r="C529" s="8"/>
      <c r="D529" s="42"/>
      <c r="E529" s="42"/>
      <c r="F529" s="42"/>
      <c r="G529" s="42"/>
      <c r="H529" s="42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</row>
    <row r="530">
      <c r="A530" s="8"/>
      <c r="B530" s="8"/>
      <c r="C530" s="8"/>
      <c r="D530" s="42"/>
      <c r="E530" s="42"/>
      <c r="F530" s="42"/>
      <c r="G530" s="42"/>
      <c r="H530" s="42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</row>
    <row r="531">
      <c r="A531" s="8"/>
      <c r="B531" s="8"/>
      <c r="C531" s="8"/>
      <c r="D531" s="42"/>
      <c r="E531" s="42"/>
      <c r="F531" s="42"/>
      <c r="G531" s="42"/>
      <c r="H531" s="42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</row>
    <row r="532">
      <c r="A532" s="8"/>
      <c r="B532" s="8"/>
      <c r="C532" s="8"/>
      <c r="D532" s="42"/>
      <c r="E532" s="42"/>
      <c r="F532" s="42"/>
      <c r="G532" s="42"/>
      <c r="H532" s="42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</row>
    <row r="533">
      <c r="A533" s="8"/>
      <c r="B533" s="8"/>
      <c r="C533" s="8"/>
      <c r="D533" s="42"/>
      <c r="E533" s="42"/>
      <c r="F533" s="42"/>
      <c r="G533" s="42"/>
      <c r="H533" s="42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</row>
    <row r="534">
      <c r="A534" s="8"/>
      <c r="B534" s="8"/>
      <c r="C534" s="8"/>
      <c r="D534" s="42"/>
      <c r="E534" s="42"/>
      <c r="F534" s="42"/>
      <c r="G534" s="42"/>
      <c r="H534" s="42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</row>
    <row r="535">
      <c r="A535" s="8"/>
      <c r="B535" s="8"/>
      <c r="C535" s="8"/>
      <c r="D535" s="42"/>
      <c r="E535" s="42"/>
      <c r="F535" s="42"/>
      <c r="G535" s="42"/>
      <c r="H535" s="42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</row>
    <row r="536">
      <c r="A536" s="8"/>
      <c r="B536" s="8"/>
      <c r="C536" s="8"/>
      <c r="D536" s="42"/>
      <c r="E536" s="42"/>
      <c r="F536" s="42"/>
      <c r="G536" s="42"/>
      <c r="H536" s="42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</row>
    <row r="537">
      <c r="A537" s="8"/>
      <c r="B537" s="8"/>
      <c r="C537" s="8"/>
      <c r="D537" s="42"/>
      <c r="E537" s="42"/>
      <c r="F537" s="42"/>
      <c r="G537" s="42"/>
      <c r="H537" s="42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</row>
    <row r="538">
      <c r="A538" s="8"/>
      <c r="B538" s="8"/>
      <c r="C538" s="8"/>
      <c r="D538" s="42"/>
      <c r="E538" s="42"/>
      <c r="F538" s="42"/>
      <c r="G538" s="42"/>
      <c r="H538" s="42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</row>
    <row r="539">
      <c r="A539" s="8"/>
      <c r="B539" s="8"/>
      <c r="C539" s="8"/>
      <c r="D539" s="42"/>
      <c r="E539" s="42"/>
      <c r="F539" s="42"/>
      <c r="G539" s="42"/>
      <c r="H539" s="42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</row>
    <row r="540">
      <c r="A540" s="8"/>
      <c r="B540" s="8"/>
      <c r="C540" s="8"/>
      <c r="D540" s="42"/>
      <c r="E540" s="42"/>
      <c r="F540" s="42"/>
      <c r="G540" s="42"/>
      <c r="H540" s="42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</row>
    <row r="541">
      <c r="A541" s="8"/>
      <c r="B541" s="8"/>
      <c r="C541" s="8"/>
      <c r="D541" s="42"/>
      <c r="E541" s="42"/>
      <c r="F541" s="42"/>
      <c r="G541" s="42"/>
      <c r="H541" s="42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</row>
    <row r="542">
      <c r="A542" s="8"/>
      <c r="B542" s="8"/>
      <c r="C542" s="8"/>
      <c r="D542" s="42"/>
      <c r="E542" s="42"/>
      <c r="F542" s="42"/>
      <c r="G542" s="42"/>
      <c r="H542" s="42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</row>
    <row r="543">
      <c r="A543" s="8"/>
      <c r="B543" s="8"/>
      <c r="C543" s="8"/>
      <c r="D543" s="42"/>
      <c r="E543" s="42"/>
      <c r="F543" s="42"/>
      <c r="G543" s="42"/>
      <c r="H543" s="42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</row>
    <row r="544">
      <c r="A544" s="8"/>
      <c r="B544" s="8"/>
      <c r="C544" s="8"/>
      <c r="D544" s="42"/>
      <c r="E544" s="42"/>
      <c r="F544" s="42"/>
      <c r="G544" s="42"/>
      <c r="H544" s="42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</row>
    <row r="545">
      <c r="A545" s="8"/>
      <c r="B545" s="8"/>
      <c r="C545" s="8"/>
      <c r="D545" s="42"/>
      <c r="E545" s="42"/>
      <c r="F545" s="42"/>
      <c r="G545" s="42"/>
      <c r="H545" s="42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</row>
    <row r="546">
      <c r="A546" s="8"/>
      <c r="B546" s="8"/>
      <c r="C546" s="8"/>
      <c r="D546" s="42"/>
      <c r="E546" s="42"/>
      <c r="F546" s="42"/>
      <c r="G546" s="42"/>
      <c r="H546" s="42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</row>
    <row r="547">
      <c r="A547" s="8"/>
      <c r="B547" s="8"/>
      <c r="C547" s="8"/>
      <c r="D547" s="42"/>
      <c r="E547" s="42"/>
      <c r="F547" s="42"/>
      <c r="G547" s="42"/>
      <c r="H547" s="42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</row>
    <row r="548">
      <c r="A548" s="8"/>
      <c r="B548" s="8"/>
      <c r="C548" s="8"/>
      <c r="D548" s="42"/>
      <c r="E548" s="42"/>
      <c r="F548" s="42"/>
      <c r="G548" s="42"/>
      <c r="H548" s="42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</row>
    <row r="549">
      <c r="A549" s="8"/>
      <c r="B549" s="8"/>
      <c r="C549" s="8"/>
      <c r="D549" s="42"/>
      <c r="E549" s="42"/>
      <c r="F549" s="42"/>
      <c r="G549" s="42"/>
      <c r="H549" s="42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</row>
    <row r="550">
      <c r="A550" s="8"/>
      <c r="B550" s="8"/>
      <c r="C550" s="8"/>
      <c r="D550" s="42"/>
      <c r="E550" s="42"/>
      <c r="F550" s="42"/>
      <c r="G550" s="42"/>
      <c r="H550" s="42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</row>
    <row r="551">
      <c r="A551" s="8"/>
      <c r="B551" s="8"/>
      <c r="C551" s="8"/>
      <c r="D551" s="42"/>
      <c r="E551" s="42"/>
      <c r="F551" s="42"/>
      <c r="G551" s="42"/>
      <c r="H551" s="42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</row>
    <row r="552">
      <c r="A552" s="8"/>
      <c r="B552" s="8"/>
      <c r="C552" s="8"/>
      <c r="D552" s="42"/>
      <c r="E552" s="42"/>
      <c r="F552" s="42"/>
      <c r="G552" s="42"/>
      <c r="H552" s="42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</row>
    <row r="553">
      <c r="A553" s="8"/>
      <c r="B553" s="8"/>
      <c r="C553" s="8"/>
      <c r="D553" s="42"/>
      <c r="E553" s="42"/>
      <c r="F553" s="42"/>
      <c r="G553" s="42"/>
      <c r="H553" s="42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</row>
    <row r="554">
      <c r="A554" s="8"/>
      <c r="B554" s="8"/>
      <c r="C554" s="8"/>
      <c r="D554" s="42"/>
      <c r="E554" s="42"/>
      <c r="F554" s="42"/>
      <c r="G554" s="42"/>
      <c r="H554" s="42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</row>
    <row r="555">
      <c r="A555" s="8"/>
      <c r="B555" s="8"/>
      <c r="C555" s="8"/>
      <c r="D555" s="42"/>
      <c r="E555" s="42"/>
      <c r="F555" s="42"/>
      <c r="G555" s="42"/>
      <c r="H555" s="42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</row>
    <row r="556">
      <c r="A556" s="8"/>
      <c r="B556" s="8"/>
      <c r="C556" s="8"/>
      <c r="D556" s="42"/>
      <c r="E556" s="42"/>
      <c r="F556" s="42"/>
      <c r="G556" s="42"/>
      <c r="H556" s="42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</row>
    <row r="557">
      <c r="A557" s="8"/>
      <c r="B557" s="8"/>
      <c r="C557" s="8"/>
      <c r="D557" s="42"/>
      <c r="E557" s="42"/>
      <c r="F557" s="42"/>
      <c r="G557" s="42"/>
      <c r="H557" s="42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</row>
    <row r="558">
      <c r="A558" s="8"/>
      <c r="B558" s="8"/>
      <c r="C558" s="8"/>
      <c r="D558" s="42"/>
      <c r="E558" s="42"/>
      <c r="F558" s="42"/>
      <c r="G558" s="42"/>
      <c r="H558" s="42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</row>
    <row r="559">
      <c r="A559" s="8"/>
      <c r="B559" s="8"/>
      <c r="C559" s="8"/>
      <c r="D559" s="42"/>
      <c r="E559" s="42"/>
      <c r="F559" s="42"/>
      <c r="G559" s="42"/>
      <c r="H559" s="42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</row>
    <row r="560">
      <c r="A560" s="8"/>
      <c r="B560" s="8"/>
      <c r="C560" s="8"/>
      <c r="D560" s="42"/>
      <c r="E560" s="42"/>
      <c r="F560" s="42"/>
      <c r="G560" s="42"/>
      <c r="H560" s="42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</row>
    <row r="561">
      <c r="A561" s="8"/>
      <c r="B561" s="8"/>
      <c r="C561" s="8"/>
      <c r="D561" s="42"/>
      <c r="E561" s="42"/>
      <c r="F561" s="42"/>
      <c r="G561" s="42"/>
      <c r="H561" s="42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</row>
    <row r="562">
      <c r="A562" s="8"/>
      <c r="B562" s="8"/>
      <c r="C562" s="8"/>
      <c r="D562" s="42"/>
      <c r="E562" s="42"/>
      <c r="F562" s="42"/>
      <c r="G562" s="42"/>
      <c r="H562" s="42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</row>
    <row r="563">
      <c r="A563" s="8"/>
      <c r="B563" s="8"/>
      <c r="C563" s="8"/>
      <c r="D563" s="42"/>
      <c r="E563" s="42"/>
      <c r="F563" s="42"/>
      <c r="G563" s="42"/>
      <c r="H563" s="42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</row>
    <row r="564">
      <c r="A564" s="8"/>
      <c r="B564" s="8"/>
      <c r="C564" s="8"/>
      <c r="D564" s="42"/>
      <c r="E564" s="42"/>
      <c r="F564" s="42"/>
      <c r="G564" s="42"/>
      <c r="H564" s="42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</row>
    <row r="565">
      <c r="A565" s="8"/>
      <c r="B565" s="8"/>
      <c r="C565" s="8"/>
      <c r="D565" s="42"/>
      <c r="E565" s="42"/>
      <c r="F565" s="42"/>
      <c r="G565" s="42"/>
      <c r="H565" s="42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</row>
    <row r="566">
      <c r="A566" s="8"/>
      <c r="B566" s="8"/>
      <c r="C566" s="8"/>
      <c r="D566" s="42"/>
      <c r="E566" s="42"/>
      <c r="F566" s="42"/>
      <c r="G566" s="42"/>
      <c r="H566" s="42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</row>
    <row r="567">
      <c r="A567" s="8"/>
      <c r="B567" s="8"/>
      <c r="C567" s="8"/>
      <c r="D567" s="42"/>
      <c r="E567" s="42"/>
      <c r="F567" s="42"/>
      <c r="G567" s="42"/>
      <c r="H567" s="42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</row>
    <row r="568">
      <c r="A568" s="8"/>
      <c r="B568" s="8"/>
      <c r="C568" s="8"/>
      <c r="D568" s="42"/>
      <c r="E568" s="42"/>
      <c r="F568" s="42"/>
      <c r="G568" s="42"/>
      <c r="H568" s="42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</row>
    <row r="569">
      <c r="A569" s="8"/>
      <c r="B569" s="8"/>
      <c r="C569" s="8"/>
      <c r="D569" s="42"/>
      <c r="E569" s="42"/>
      <c r="F569" s="42"/>
      <c r="G569" s="42"/>
      <c r="H569" s="42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</row>
    <row r="570">
      <c r="A570" s="8"/>
      <c r="B570" s="8"/>
      <c r="C570" s="8"/>
      <c r="D570" s="42"/>
      <c r="E570" s="42"/>
      <c r="F570" s="42"/>
      <c r="G570" s="42"/>
      <c r="H570" s="42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</row>
    <row r="571">
      <c r="A571" s="8"/>
      <c r="B571" s="8"/>
      <c r="C571" s="8"/>
      <c r="D571" s="42"/>
      <c r="E571" s="42"/>
      <c r="F571" s="42"/>
      <c r="G571" s="42"/>
      <c r="H571" s="42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</row>
    <row r="572">
      <c r="A572" s="8"/>
      <c r="B572" s="8"/>
      <c r="C572" s="8"/>
      <c r="D572" s="42"/>
      <c r="E572" s="42"/>
      <c r="F572" s="42"/>
      <c r="G572" s="42"/>
      <c r="H572" s="42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</row>
    <row r="573">
      <c r="A573" s="8"/>
      <c r="B573" s="8"/>
      <c r="C573" s="8"/>
      <c r="D573" s="42"/>
      <c r="E573" s="42"/>
      <c r="F573" s="42"/>
      <c r="G573" s="42"/>
      <c r="H573" s="42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</row>
    <row r="574">
      <c r="A574" s="8"/>
      <c r="B574" s="8"/>
      <c r="C574" s="8"/>
      <c r="D574" s="42"/>
      <c r="E574" s="42"/>
      <c r="F574" s="42"/>
      <c r="G574" s="42"/>
      <c r="H574" s="42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</row>
    <row r="575">
      <c r="A575" s="8"/>
      <c r="B575" s="8"/>
      <c r="C575" s="8"/>
      <c r="D575" s="42"/>
      <c r="E575" s="42"/>
      <c r="F575" s="42"/>
      <c r="G575" s="42"/>
      <c r="H575" s="42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</row>
    <row r="576">
      <c r="A576" s="8"/>
      <c r="B576" s="8"/>
      <c r="C576" s="8"/>
      <c r="D576" s="42"/>
      <c r="E576" s="42"/>
      <c r="F576" s="42"/>
      <c r="G576" s="42"/>
      <c r="H576" s="42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</row>
    <row r="577">
      <c r="A577" s="8"/>
      <c r="B577" s="8"/>
      <c r="C577" s="8"/>
      <c r="D577" s="42"/>
      <c r="E577" s="42"/>
      <c r="F577" s="42"/>
      <c r="G577" s="42"/>
      <c r="H577" s="42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</row>
    <row r="578">
      <c r="A578" s="8"/>
      <c r="B578" s="8"/>
      <c r="C578" s="8"/>
      <c r="D578" s="42"/>
      <c r="E578" s="42"/>
      <c r="F578" s="42"/>
      <c r="G578" s="42"/>
      <c r="H578" s="42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</row>
    <row r="579">
      <c r="A579" s="8"/>
      <c r="B579" s="8"/>
      <c r="C579" s="8"/>
      <c r="D579" s="42"/>
      <c r="E579" s="42"/>
      <c r="F579" s="42"/>
      <c r="G579" s="42"/>
      <c r="H579" s="42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</row>
    <row r="580">
      <c r="A580" s="8"/>
      <c r="B580" s="8"/>
      <c r="C580" s="8"/>
      <c r="D580" s="42"/>
      <c r="E580" s="42"/>
      <c r="F580" s="42"/>
      <c r="G580" s="42"/>
      <c r="H580" s="42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</row>
    <row r="581">
      <c r="A581" s="8"/>
      <c r="B581" s="8"/>
      <c r="C581" s="8"/>
      <c r="D581" s="42"/>
      <c r="E581" s="42"/>
      <c r="F581" s="42"/>
      <c r="G581" s="42"/>
      <c r="H581" s="42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</row>
    <row r="582">
      <c r="A582" s="8"/>
      <c r="B582" s="8"/>
      <c r="C582" s="8"/>
      <c r="D582" s="42"/>
      <c r="E582" s="42"/>
      <c r="F582" s="42"/>
      <c r="G582" s="42"/>
      <c r="H582" s="42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</row>
    <row r="583">
      <c r="A583" s="8"/>
      <c r="B583" s="8"/>
      <c r="C583" s="8"/>
      <c r="D583" s="42"/>
      <c r="E583" s="42"/>
      <c r="F583" s="42"/>
      <c r="G583" s="42"/>
      <c r="H583" s="42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</row>
    <row r="584">
      <c r="A584" s="8"/>
      <c r="B584" s="8"/>
      <c r="C584" s="8"/>
      <c r="D584" s="42"/>
      <c r="E584" s="42"/>
      <c r="F584" s="42"/>
      <c r="G584" s="42"/>
      <c r="H584" s="42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</row>
    <row r="585">
      <c r="A585" s="8"/>
      <c r="B585" s="8"/>
      <c r="C585" s="8"/>
      <c r="D585" s="42"/>
      <c r="E585" s="42"/>
      <c r="F585" s="42"/>
      <c r="G585" s="42"/>
      <c r="H585" s="42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</row>
    <row r="586">
      <c r="A586" s="8"/>
      <c r="B586" s="8"/>
      <c r="C586" s="8"/>
      <c r="D586" s="42"/>
      <c r="E586" s="42"/>
      <c r="F586" s="42"/>
      <c r="G586" s="42"/>
      <c r="H586" s="42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</row>
    <row r="587">
      <c r="A587" s="8"/>
      <c r="B587" s="8"/>
      <c r="C587" s="8"/>
      <c r="D587" s="42"/>
      <c r="E587" s="42"/>
      <c r="F587" s="42"/>
      <c r="G587" s="42"/>
      <c r="H587" s="42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</row>
    <row r="588">
      <c r="A588" s="8"/>
      <c r="B588" s="8"/>
      <c r="C588" s="8"/>
      <c r="D588" s="42"/>
      <c r="E588" s="42"/>
      <c r="F588" s="42"/>
      <c r="G588" s="42"/>
      <c r="H588" s="42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</row>
    <row r="589">
      <c r="A589" s="8"/>
      <c r="B589" s="8"/>
      <c r="C589" s="8"/>
      <c r="D589" s="42"/>
      <c r="E589" s="42"/>
      <c r="F589" s="42"/>
      <c r="G589" s="42"/>
      <c r="H589" s="42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</row>
    <row r="590">
      <c r="A590" s="8"/>
      <c r="B590" s="8"/>
      <c r="C590" s="8"/>
      <c r="D590" s="42"/>
      <c r="E590" s="42"/>
      <c r="F590" s="42"/>
      <c r="G590" s="42"/>
      <c r="H590" s="42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</row>
    <row r="591">
      <c r="A591" s="8"/>
      <c r="B591" s="8"/>
      <c r="C591" s="8"/>
      <c r="D591" s="42"/>
      <c r="E591" s="42"/>
      <c r="F591" s="42"/>
      <c r="G591" s="42"/>
      <c r="H591" s="42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</row>
    <row r="592">
      <c r="A592" s="8"/>
      <c r="B592" s="8"/>
      <c r="C592" s="8"/>
      <c r="D592" s="42"/>
      <c r="E592" s="42"/>
      <c r="F592" s="42"/>
      <c r="G592" s="42"/>
      <c r="H592" s="42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</row>
    <row r="593">
      <c r="A593" s="8"/>
      <c r="B593" s="8"/>
      <c r="C593" s="8"/>
      <c r="D593" s="42"/>
      <c r="E593" s="42"/>
      <c r="F593" s="42"/>
      <c r="G593" s="42"/>
      <c r="H593" s="42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</row>
    <row r="594">
      <c r="A594" s="8"/>
      <c r="B594" s="8"/>
      <c r="C594" s="8"/>
      <c r="D594" s="42"/>
      <c r="E594" s="42"/>
      <c r="F594" s="42"/>
      <c r="G594" s="42"/>
      <c r="H594" s="42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</row>
    <row r="595">
      <c r="A595" s="8"/>
      <c r="B595" s="8"/>
      <c r="C595" s="8"/>
      <c r="D595" s="42"/>
      <c r="E595" s="42"/>
      <c r="F595" s="42"/>
      <c r="G595" s="42"/>
      <c r="H595" s="42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</row>
    <row r="596">
      <c r="A596" s="8"/>
      <c r="B596" s="8"/>
      <c r="C596" s="8"/>
      <c r="D596" s="42"/>
      <c r="E596" s="42"/>
      <c r="F596" s="42"/>
      <c r="G596" s="42"/>
      <c r="H596" s="42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</row>
    <row r="597">
      <c r="A597" s="8"/>
      <c r="B597" s="8"/>
      <c r="C597" s="8"/>
      <c r="D597" s="42"/>
      <c r="E597" s="42"/>
      <c r="F597" s="42"/>
      <c r="G597" s="42"/>
      <c r="H597" s="42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</row>
    <row r="598">
      <c r="A598" s="8"/>
      <c r="B598" s="8"/>
      <c r="C598" s="8"/>
      <c r="D598" s="42"/>
      <c r="E598" s="42"/>
      <c r="F598" s="42"/>
      <c r="G598" s="42"/>
      <c r="H598" s="42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</row>
    <row r="599">
      <c r="A599" s="8"/>
      <c r="B599" s="8"/>
      <c r="C599" s="8"/>
      <c r="D599" s="42"/>
      <c r="E599" s="42"/>
      <c r="F599" s="42"/>
      <c r="G599" s="42"/>
      <c r="H599" s="42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</row>
    <row r="600">
      <c r="A600" s="8"/>
      <c r="B600" s="8"/>
      <c r="C600" s="8"/>
      <c r="D600" s="42"/>
      <c r="E600" s="42"/>
      <c r="F600" s="42"/>
      <c r="G600" s="42"/>
      <c r="H600" s="42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</row>
    <row r="601">
      <c r="A601" s="8"/>
      <c r="B601" s="8"/>
      <c r="C601" s="8"/>
      <c r="D601" s="42"/>
      <c r="E601" s="42"/>
      <c r="F601" s="42"/>
      <c r="G601" s="42"/>
      <c r="H601" s="42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</row>
    <row r="602">
      <c r="A602" s="8"/>
      <c r="B602" s="8"/>
      <c r="C602" s="8"/>
      <c r="D602" s="42"/>
      <c r="E602" s="42"/>
      <c r="F602" s="42"/>
      <c r="G602" s="42"/>
      <c r="H602" s="42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</row>
    <row r="603">
      <c r="A603" s="8"/>
      <c r="B603" s="8"/>
      <c r="C603" s="8"/>
      <c r="D603" s="42"/>
      <c r="E603" s="42"/>
      <c r="F603" s="42"/>
      <c r="G603" s="42"/>
      <c r="H603" s="42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</row>
    <row r="604">
      <c r="A604" s="8"/>
      <c r="B604" s="8"/>
      <c r="C604" s="8"/>
      <c r="D604" s="42"/>
      <c r="E604" s="42"/>
      <c r="F604" s="42"/>
      <c r="G604" s="42"/>
      <c r="H604" s="42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</row>
    <row r="605">
      <c r="A605" s="8"/>
      <c r="B605" s="8"/>
      <c r="C605" s="8"/>
      <c r="D605" s="42"/>
      <c r="E605" s="42"/>
      <c r="F605" s="42"/>
      <c r="G605" s="42"/>
      <c r="H605" s="42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</row>
    <row r="606">
      <c r="A606" s="8"/>
      <c r="B606" s="8"/>
      <c r="C606" s="8"/>
      <c r="D606" s="42"/>
      <c r="E606" s="42"/>
      <c r="F606" s="42"/>
      <c r="G606" s="42"/>
      <c r="H606" s="42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</row>
    <row r="607">
      <c r="A607" s="8"/>
      <c r="B607" s="8"/>
      <c r="C607" s="8"/>
      <c r="D607" s="42"/>
      <c r="E607" s="42"/>
      <c r="F607" s="42"/>
      <c r="G607" s="42"/>
      <c r="H607" s="42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</row>
    <row r="608">
      <c r="A608" s="8"/>
      <c r="B608" s="8"/>
      <c r="C608" s="8"/>
      <c r="D608" s="42"/>
      <c r="E608" s="42"/>
      <c r="F608" s="42"/>
      <c r="G608" s="42"/>
      <c r="H608" s="42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</row>
    <row r="609">
      <c r="A609" s="8"/>
      <c r="B609" s="8"/>
      <c r="C609" s="8"/>
      <c r="D609" s="42"/>
      <c r="E609" s="42"/>
      <c r="F609" s="42"/>
      <c r="G609" s="42"/>
      <c r="H609" s="42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</row>
    <row r="610">
      <c r="A610" s="8"/>
      <c r="B610" s="8"/>
      <c r="C610" s="8"/>
      <c r="D610" s="42"/>
      <c r="E610" s="42"/>
      <c r="F610" s="42"/>
      <c r="G610" s="42"/>
      <c r="H610" s="42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</row>
    <row r="611">
      <c r="A611" s="8"/>
      <c r="B611" s="8"/>
      <c r="C611" s="8"/>
      <c r="D611" s="42"/>
      <c r="E611" s="42"/>
      <c r="F611" s="42"/>
      <c r="G611" s="42"/>
      <c r="H611" s="42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</row>
    <row r="612">
      <c r="A612" s="8"/>
      <c r="B612" s="8"/>
      <c r="C612" s="8"/>
      <c r="D612" s="42"/>
      <c r="E612" s="42"/>
      <c r="F612" s="42"/>
      <c r="G612" s="42"/>
      <c r="H612" s="42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</row>
    <row r="613">
      <c r="A613" s="8"/>
      <c r="B613" s="8"/>
      <c r="C613" s="8"/>
      <c r="D613" s="42"/>
      <c r="E613" s="42"/>
      <c r="F613" s="42"/>
      <c r="G613" s="42"/>
      <c r="H613" s="42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</row>
    <row r="614">
      <c r="A614" s="8"/>
      <c r="B614" s="8"/>
      <c r="C614" s="8"/>
      <c r="D614" s="42"/>
      <c r="E614" s="42"/>
      <c r="F614" s="42"/>
      <c r="G614" s="42"/>
      <c r="H614" s="42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</row>
    <row r="615">
      <c r="A615" s="8"/>
      <c r="B615" s="8"/>
      <c r="C615" s="8"/>
      <c r="D615" s="42"/>
      <c r="E615" s="42"/>
      <c r="F615" s="42"/>
      <c r="G615" s="42"/>
      <c r="H615" s="42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</row>
    <row r="616">
      <c r="A616" s="8"/>
      <c r="B616" s="8"/>
      <c r="C616" s="8"/>
      <c r="D616" s="42"/>
      <c r="E616" s="42"/>
      <c r="F616" s="42"/>
      <c r="G616" s="42"/>
      <c r="H616" s="42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</row>
    <row r="617">
      <c r="A617" s="8"/>
      <c r="B617" s="8"/>
      <c r="C617" s="8"/>
      <c r="D617" s="42"/>
      <c r="E617" s="42"/>
      <c r="F617" s="42"/>
      <c r="G617" s="42"/>
      <c r="H617" s="42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</row>
    <row r="618">
      <c r="A618" s="8"/>
      <c r="B618" s="8"/>
      <c r="C618" s="8"/>
      <c r="D618" s="42"/>
      <c r="E618" s="42"/>
      <c r="F618" s="42"/>
      <c r="G618" s="42"/>
      <c r="H618" s="42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</row>
    <row r="619">
      <c r="A619" s="8"/>
      <c r="B619" s="8"/>
      <c r="C619" s="8"/>
      <c r="D619" s="42"/>
      <c r="E619" s="42"/>
      <c r="F619" s="42"/>
      <c r="G619" s="42"/>
      <c r="H619" s="42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</row>
    <row r="620">
      <c r="A620" s="8"/>
      <c r="B620" s="8"/>
      <c r="C620" s="8"/>
      <c r="D620" s="42"/>
      <c r="E620" s="42"/>
      <c r="F620" s="42"/>
      <c r="G620" s="42"/>
      <c r="H620" s="42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</row>
    <row r="621">
      <c r="A621" s="8"/>
      <c r="B621" s="8"/>
      <c r="C621" s="8"/>
      <c r="D621" s="42"/>
      <c r="E621" s="42"/>
      <c r="F621" s="42"/>
      <c r="G621" s="42"/>
      <c r="H621" s="42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</row>
    <row r="622">
      <c r="A622" s="8"/>
      <c r="B622" s="8"/>
      <c r="C622" s="8"/>
      <c r="D622" s="42"/>
      <c r="E622" s="42"/>
      <c r="F622" s="42"/>
      <c r="G622" s="42"/>
      <c r="H622" s="42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</row>
    <row r="623">
      <c r="A623" s="8"/>
      <c r="B623" s="8"/>
      <c r="C623" s="8"/>
      <c r="D623" s="42"/>
      <c r="E623" s="42"/>
      <c r="F623" s="42"/>
      <c r="G623" s="42"/>
      <c r="H623" s="42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</row>
    <row r="624">
      <c r="A624" s="8"/>
      <c r="B624" s="8"/>
      <c r="C624" s="8"/>
      <c r="D624" s="42"/>
      <c r="E624" s="42"/>
      <c r="F624" s="42"/>
      <c r="G624" s="42"/>
      <c r="H624" s="42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</row>
    <row r="625">
      <c r="A625" s="8"/>
      <c r="B625" s="8"/>
      <c r="C625" s="8"/>
      <c r="D625" s="42"/>
      <c r="E625" s="42"/>
      <c r="F625" s="42"/>
      <c r="G625" s="42"/>
      <c r="H625" s="42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</row>
    <row r="626">
      <c r="A626" s="8"/>
      <c r="B626" s="8"/>
      <c r="C626" s="8"/>
      <c r="D626" s="42"/>
      <c r="E626" s="42"/>
      <c r="F626" s="42"/>
      <c r="G626" s="42"/>
      <c r="H626" s="42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</row>
    <row r="627">
      <c r="A627" s="8"/>
      <c r="B627" s="8"/>
      <c r="C627" s="8"/>
      <c r="D627" s="42"/>
      <c r="E627" s="42"/>
      <c r="F627" s="42"/>
      <c r="G627" s="42"/>
      <c r="H627" s="42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</row>
    <row r="628">
      <c r="A628" s="8"/>
      <c r="B628" s="8"/>
      <c r="C628" s="8"/>
      <c r="D628" s="42"/>
      <c r="E628" s="42"/>
      <c r="F628" s="42"/>
      <c r="G628" s="42"/>
      <c r="H628" s="42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</row>
    <row r="629">
      <c r="A629" s="8"/>
      <c r="B629" s="8"/>
      <c r="C629" s="8"/>
      <c r="D629" s="42"/>
      <c r="E629" s="42"/>
      <c r="F629" s="42"/>
      <c r="G629" s="42"/>
      <c r="H629" s="42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</row>
    <row r="630">
      <c r="A630" s="8"/>
      <c r="B630" s="8"/>
      <c r="C630" s="8"/>
      <c r="D630" s="42"/>
      <c r="E630" s="42"/>
      <c r="F630" s="42"/>
      <c r="G630" s="42"/>
      <c r="H630" s="42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</row>
    <row r="631">
      <c r="A631" s="8"/>
      <c r="B631" s="8"/>
      <c r="C631" s="8"/>
      <c r="D631" s="42"/>
      <c r="E631" s="42"/>
      <c r="F631" s="42"/>
      <c r="G631" s="42"/>
      <c r="H631" s="42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</row>
    <row r="632">
      <c r="A632" s="8"/>
      <c r="B632" s="8"/>
      <c r="C632" s="8"/>
      <c r="D632" s="42"/>
      <c r="E632" s="42"/>
      <c r="F632" s="42"/>
      <c r="G632" s="42"/>
      <c r="H632" s="42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</row>
    <row r="633">
      <c r="A633" s="8"/>
      <c r="B633" s="8"/>
      <c r="C633" s="8"/>
      <c r="D633" s="42"/>
      <c r="E633" s="42"/>
      <c r="F633" s="42"/>
      <c r="G633" s="42"/>
      <c r="H633" s="42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</row>
    <row r="634">
      <c r="A634" s="8"/>
      <c r="B634" s="8"/>
      <c r="C634" s="8"/>
      <c r="D634" s="42"/>
      <c r="E634" s="42"/>
      <c r="F634" s="42"/>
      <c r="G634" s="42"/>
      <c r="H634" s="42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</row>
    <row r="635">
      <c r="A635" s="8"/>
      <c r="B635" s="8"/>
      <c r="C635" s="8"/>
      <c r="D635" s="42"/>
      <c r="E635" s="42"/>
      <c r="F635" s="42"/>
      <c r="G635" s="42"/>
      <c r="H635" s="42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</row>
    <row r="636">
      <c r="A636" s="8"/>
      <c r="B636" s="8"/>
      <c r="C636" s="8"/>
      <c r="D636" s="42"/>
      <c r="E636" s="42"/>
      <c r="F636" s="42"/>
      <c r="G636" s="42"/>
      <c r="H636" s="42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</row>
    <row r="637">
      <c r="A637" s="8"/>
      <c r="B637" s="8"/>
      <c r="C637" s="8"/>
      <c r="D637" s="42"/>
      <c r="E637" s="42"/>
      <c r="F637" s="42"/>
      <c r="G637" s="42"/>
      <c r="H637" s="42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</row>
    <row r="638">
      <c r="A638" s="8"/>
      <c r="B638" s="8"/>
      <c r="C638" s="8"/>
      <c r="D638" s="42"/>
      <c r="E638" s="42"/>
      <c r="F638" s="42"/>
      <c r="G638" s="42"/>
      <c r="H638" s="42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</row>
    <row r="639">
      <c r="A639" s="8"/>
      <c r="B639" s="8"/>
      <c r="C639" s="8"/>
      <c r="D639" s="42"/>
      <c r="E639" s="42"/>
      <c r="F639" s="42"/>
      <c r="G639" s="42"/>
      <c r="H639" s="42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</row>
    <row r="640">
      <c r="A640" s="8"/>
      <c r="B640" s="8"/>
      <c r="C640" s="8"/>
      <c r="D640" s="42"/>
      <c r="E640" s="42"/>
      <c r="F640" s="42"/>
      <c r="G640" s="42"/>
      <c r="H640" s="42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</row>
    <row r="641">
      <c r="A641" s="8"/>
      <c r="B641" s="8"/>
      <c r="C641" s="8"/>
      <c r="D641" s="42"/>
      <c r="E641" s="42"/>
      <c r="F641" s="42"/>
      <c r="G641" s="42"/>
      <c r="H641" s="42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</row>
    <row r="642">
      <c r="A642" s="8"/>
      <c r="B642" s="8"/>
      <c r="C642" s="8"/>
      <c r="D642" s="42"/>
      <c r="E642" s="42"/>
      <c r="F642" s="42"/>
      <c r="G642" s="42"/>
      <c r="H642" s="42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</row>
    <row r="643">
      <c r="A643" s="8"/>
      <c r="B643" s="8"/>
      <c r="C643" s="8"/>
      <c r="D643" s="42"/>
      <c r="E643" s="42"/>
      <c r="F643" s="42"/>
      <c r="G643" s="42"/>
      <c r="H643" s="42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</row>
    <row r="644">
      <c r="A644" s="8"/>
      <c r="B644" s="8"/>
      <c r="C644" s="8"/>
      <c r="D644" s="42"/>
      <c r="E644" s="42"/>
      <c r="F644" s="42"/>
      <c r="G644" s="42"/>
      <c r="H644" s="42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</row>
    <row r="645">
      <c r="A645" s="8"/>
      <c r="B645" s="8"/>
      <c r="C645" s="8"/>
      <c r="D645" s="42"/>
      <c r="E645" s="42"/>
      <c r="F645" s="42"/>
      <c r="G645" s="42"/>
      <c r="H645" s="42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</row>
    <row r="646">
      <c r="A646" s="8"/>
      <c r="B646" s="8"/>
      <c r="C646" s="8"/>
      <c r="D646" s="42"/>
      <c r="E646" s="42"/>
      <c r="F646" s="42"/>
      <c r="G646" s="42"/>
      <c r="H646" s="42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</row>
    <row r="647">
      <c r="A647" s="8"/>
      <c r="B647" s="8"/>
      <c r="C647" s="8"/>
      <c r="D647" s="42"/>
      <c r="E647" s="42"/>
      <c r="F647" s="42"/>
      <c r="G647" s="42"/>
      <c r="H647" s="42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</row>
    <row r="648">
      <c r="A648" s="8"/>
      <c r="B648" s="8"/>
      <c r="C648" s="8"/>
      <c r="D648" s="42"/>
      <c r="E648" s="42"/>
      <c r="F648" s="42"/>
      <c r="G648" s="42"/>
      <c r="H648" s="42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</row>
    <row r="649">
      <c r="A649" s="8"/>
      <c r="B649" s="8"/>
      <c r="C649" s="8"/>
      <c r="D649" s="42"/>
      <c r="E649" s="42"/>
      <c r="F649" s="42"/>
      <c r="G649" s="42"/>
      <c r="H649" s="42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</row>
    <row r="650">
      <c r="A650" s="8"/>
      <c r="B650" s="8"/>
      <c r="C650" s="8"/>
      <c r="D650" s="42"/>
      <c r="E650" s="42"/>
      <c r="F650" s="42"/>
      <c r="G650" s="42"/>
      <c r="H650" s="42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</row>
    <row r="651">
      <c r="A651" s="8"/>
      <c r="B651" s="8"/>
      <c r="C651" s="8"/>
      <c r="D651" s="42"/>
      <c r="E651" s="42"/>
      <c r="F651" s="42"/>
      <c r="G651" s="42"/>
      <c r="H651" s="42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</row>
    <row r="652">
      <c r="A652" s="8"/>
      <c r="B652" s="8"/>
      <c r="C652" s="8"/>
      <c r="D652" s="42"/>
      <c r="E652" s="42"/>
      <c r="F652" s="42"/>
      <c r="G652" s="42"/>
      <c r="H652" s="42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</row>
    <row r="653">
      <c r="A653" s="8"/>
      <c r="B653" s="8"/>
      <c r="C653" s="8"/>
      <c r="D653" s="42"/>
      <c r="E653" s="42"/>
      <c r="F653" s="42"/>
      <c r="G653" s="42"/>
      <c r="H653" s="42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</row>
    <row r="654">
      <c r="A654" s="8"/>
      <c r="B654" s="8"/>
      <c r="C654" s="8"/>
      <c r="D654" s="42"/>
      <c r="E654" s="42"/>
      <c r="F654" s="42"/>
      <c r="G654" s="42"/>
      <c r="H654" s="42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</row>
    <row r="655">
      <c r="A655" s="8"/>
      <c r="B655" s="8"/>
      <c r="C655" s="8"/>
      <c r="D655" s="42"/>
      <c r="E655" s="42"/>
      <c r="F655" s="42"/>
      <c r="G655" s="42"/>
      <c r="H655" s="42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</row>
    <row r="656">
      <c r="A656" s="8"/>
      <c r="B656" s="8"/>
      <c r="C656" s="8"/>
      <c r="D656" s="42"/>
      <c r="E656" s="42"/>
      <c r="F656" s="42"/>
      <c r="G656" s="42"/>
      <c r="H656" s="42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</row>
    <row r="657">
      <c r="A657" s="8"/>
      <c r="B657" s="8"/>
      <c r="C657" s="8"/>
      <c r="D657" s="42"/>
      <c r="E657" s="42"/>
      <c r="F657" s="42"/>
      <c r="G657" s="42"/>
      <c r="H657" s="42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</row>
    <row r="658">
      <c r="A658" s="8"/>
      <c r="B658" s="8"/>
      <c r="C658" s="8"/>
      <c r="D658" s="42"/>
      <c r="E658" s="42"/>
      <c r="F658" s="42"/>
      <c r="G658" s="42"/>
      <c r="H658" s="42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</row>
    <row r="659">
      <c r="A659" s="8"/>
      <c r="B659" s="8"/>
      <c r="C659" s="8"/>
      <c r="D659" s="42"/>
      <c r="E659" s="42"/>
      <c r="F659" s="42"/>
      <c r="G659" s="42"/>
      <c r="H659" s="42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</row>
    <row r="660">
      <c r="A660" s="8"/>
      <c r="B660" s="8"/>
      <c r="C660" s="8"/>
      <c r="D660" s="42"/>
      <c r="E660" s="42"/>
      <c r="F660" s="42"/>
      <c r="G660" s="42"/>
      <c r="H660" s="42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</row>
    <row r="661">
      <c r="A661" s="8"/>
      <c r="B661" s="8"/>
      <c r="C661" s="8"/>
      <c r="D661" s="42"/>
      <c r="E661" s="42"/>
      <c r="F661" s="42"/>
      <c r="G661" s="42"/>
      <c r="H661" s="42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</row>
    <row r="662">
      <c r="A662" s="8"/>
      <c r="B662" s="8"/>
      <c r="C662" s="8"/>
      <c r="D662" s="42"/>
      <c r="E662" s="42"/>
      <c r="F662" s="42"/>
      <c r="G662" s="42"/>
      <c r="H662" s="42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</row>
    <row r="663">
      <c r="A663" s="8"/>
      <c r="B663" s="8"/>
      <c r="C663" s="8"/>
      <c r="D663" s="42"/>
      <c r="E663" s="42"/>
      <c r="F663" s="42"/>
      <c r="G663" s="42"/>
      <c r="H663" s="42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</row>
    <row r="664">
      <c r="A664" s="8"/>
      <c r="B664" s="8"/>
      <c r="C664" s="8"/>
      <c r="D664" s="42"/>
      <c r="E664" s="42"/>
      <c r="F664" s="42"/>
      <c r="G664" s="42"/>
      <c r="H664" s="42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</row>
    <row r="665">
      <c r="A665" s="8"/>
      <c r="B665" s="8"/>
      <c r="C665" s="8"/>
      <c r="D665" s="42"/>
      <c r="E665" s="42"/>
      <c r="F665" s="42"/>
      <c r="G665" s="42"/>
      <c r="H665" s="42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</row>
    <row r="666">
      <c r="A666" s="8"/>
      <c r="B666" s="8"/>
      <c r="C666" s="8"/>
      <c r="D666" s="42"/>
      <c r="E666" s="42"/>
      <c r="F666" s="42"/>
      <c r="G666" s="42"/>
      <c r="H666" s="42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</row>
    <row r="667">
      <c r="A667" s="8"/>
      <c r="B667" s="8"/>
      <c r="C667" s="8"/>
      <c r="D667" s="42"/>
      <c r="E667" s="42"/>
      <c r="F667" s="42"/>
      <c r="G667" s="42"/>
      <c r="H667" s="42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</row>
    <row r="668">
      <c r="A668" s="8"/>
      <c r="B668" s="8"/>
      <c r="C668" s="8"/>
      <c r="D668" s="42"/>
      <c r="E668" s="42"/>
      <c r="F668" s="42"/>
      <c r="G668" s="42"/>
      <c r="H668" s="42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</row>
    <row r="669">
      <c r="A669" s="8"/>
      <c r="B669" s="8"/>
      <c r="C669" s="8"/>
      <c r="D669" s="42"/>
      <c r="E669" s="42"/>
      <c r="F669" s="42"/>
      <c r="G669" s="42"/>
      <c r="H669" s="42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</row>
    <row r="670">
      <c r="A670" s="8"/>
      <c r="B670" s="8"/>
      <c r="C670" s="8"/>
      <c r="D670" s="42"/>
      <c r="E670" s="42"/>
      <c r="F670" s="42"/>
      <c r="G670" s="42"/>
      <c r="H670" s="42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</row>
    <row r="671">
      <c r="A671" s="8"/>
      <c r="B671" s="8"/>
      <c r="C671" s="8"/>
      <c r="D671" s="42"/>
      <c r="E671" s="42"/>
      <c r="F671" s="42"/>
      <c r="G671" s="42"/>
      <c r="H671" s="42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</row>
    <row r="672">
      <c r="A672" s="8"/>
      <c r="B672" s="8"/>
      <c r="C672" s="8"/>
      <c r="D672" s="42"/>
      <c r="E672" s="42"/>
      <c r="F672" s="42"/>
      <c r="G672" s="42"/>
      <c r="H672" s="42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</row>
    <row r="673">
      <c r="A673" s="8"/>
      <c r="B673" s="8"/>
      <c r="C673" s="8"/>
      <c r="D673" s="42"/>
      <c r="E673" s="42"/>
      <c r="F673" s="42"/>
      <c r="G673" s="42"/>
      <c r="H673" s="42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</row>
    <row r="674">
      <c r="A674" s="8"/>
      <c r="B674" s="8"/>
      <c r="C674" s="8"/>
      <c r="D674" s="42"/>
      <c r="E674" s="42"/>
      <c r="F674" s="42"/>
      <c r="G674" s="42"/>
      <c r="H674" s="42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</row>
    <row r="675">
      <c r="A675" s="8"/>
      <c r="B675" s="8"/>
      <c r="C675" s="8"/>
      <c r="D675" s="42"/>
      <c r="E675" s="42"/>
      <c r="F675" s="42"/>
      <c r="G675" s="42"/>
      <c r="H675" s="42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</row>
    <row r="676">
      <c r="A676" s="8"/>
      <c r="B676" s="8"/>
      <c r="C676" s="8"/>
      <c r="D676" s="42"/>
      <c r="E676" s="42"/>
      <c r="F676" s="42"/>
      <c r="G676" s="42"/>
      <c r="H676" s="42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</row>
    <row r="677">
      <c r="A677" s="8"/>
      <c r="B677" s="8"/>
      <c r="C677" s="8"/>
      <c r="D677" s="42"/>
      <c r="E677" s="42"/>
      <c r="F677" s="42"/>
      <c r="G677" s="42"/>
      <c r="H677" s="42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</row>
    <row r="678">
      <c r="A678" s="8"/>
      <c r="B678" s="8"/>
      <c r="C678" s="8"/>
      <c r="D678" s="42"/>
      <c r="E678" s="42"/>
      <c r="F678" s="42"/>
      <c r="G678" s="42"/>
      <c r="H678" s="42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</row>
    <row r="679">
      <c r="A679" s="8"/>
      <c r="B679" s="8"/>
      <c r="C679" s="8"/>
      <c r="D679" s="42"/>
      <c r="E679" s="42"/>
      <c r="F679" s="42"/>
      <c r="G679" s="42"/>
      <c r="H679" s="42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</row>
    <row r="680">
      <c r="A680" s="8"/>
      <c r="B680" s="8"/>
      <c r="C680" s="8"/>
      <c r="D680" s="42"/>
      <c r="E680" s="42"/>
      <c r="F680" s="42"/>
      <c r="G680" s="42"/>
      <c r="H680" s="42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</row>
    <row r="681">
      <c r="A681" s="8"/>
      <c r="B681" s="8"/>
      <c r="C681" s="8"/>
      <c r="D681" s="42"/>
      <c r="E681" s="42"/>
      <c r="F681" s="42"/>
      <c r="G681" s="42"/>
      <c r="H681" s="42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</row>
    <row r="682">
      <c r="A682" s="8"/>
      <c r="B682" s="8"/>
      <c r="C682" s="8"/>
      <c r="D682" s="42"/>
      <c r="E682" s="42"/>
      <c r="F682" s="42"/>
      <c r="G682" s="42"/>
      <c r="H682" s="42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</row>
    <row r="683">
      <c r="A683" s="8"/>
      <c r="B683" s="8"/>
      <c r="C683" s="8"/>
      <c r="D683" s="42"/>
      <c r="E683" s="42"/>
      <c r="F683" s="42"/>
      <c r="G683" s="42"/>
      <c r="H683" s="42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</row>
    <row r="684">
      <c r="A684" s="8"/>
      <c r="B684" s="8"/>
      <c r="C684" s="8"/>
      <c r="D684" s="42"/>
      <c r="E684" s="42"/>
      <c r="F684" s="42"/>
      <c r="G684" s="42"/>
      <c r="H684" s="42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</row>
    <row r="685">
      <c r="A685" s="8"/>
      <c r="B685" s="8"/>
      <c r="C685" s="8"/>
      <c r="D685" s="42"/>
      <c r="E685" s="42"/>
      <c r="F685" s="42"/>
      <c r="G685" s="42"/>
      <c r="H685" s="42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</row>
    <row r="686">
      <c r="A686" s="8"/>
      <c r="B686" s="8"/>
      <c r="C686" s="8"/>
      <c r="D686" s="42"/>
      <c r="E686" s="42"/>
      <c r="F686" s="42"/>
      <c r="G686" s="42"/>
      <c r="H686" s="42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</row>
    <row r="687">
      <c r="A687" s="8"/>
      <c r="B687" s="8"/>
      <c r="C687" s="8"/>
      <c r="D687" s="42"/>
      <c r="E687" s="42"/>
      <c r="F687" s="42"/>
      <c r="G687" s="42"/>
      <c r="H687" s="42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</row>
    <row r="688">
      <c r="A688" s="8"/>
      <c r="B688" s="8"/>
      <c r="C688" s="8"/>
      <c r="D688" s="42"/>
      <c r="E688" s="42"/>
      <c r="F688" s="42"/>
      <c r="G688" s="42"/>
      <c r="H688" s="42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</row>
    <row r="689">
      <c r="A689" s="8"/>
      <c r="B689" s="8"/>
      <c r="C689" s="8"/>
      <c r="D689" s="42"/>
      <c r="E689" s="42"/>
      <c r="F689" s="42"/>
      <c r="G689" s="42"/>
      <c r="H689" s="42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</row>
    <row r="690">
      <c r="A690" s="8"/>
      <c r="B690" s="8"/>
      <c r="C690" s="8"/>
      <c r="D690" s="42"/>
      <c r="E690" s="42"/>
      <c r="F690" s="42"/>
      <c r="G690" s="42"/>
      <c r="H690" s="42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</row>
    <row r="691">
      <c r="A691" s="8"/>
      <c r="B691" s="8"/>
      <c r="C691" s="8"/>
      <c r="D691" s="42"/>
      <c r="E691" s="42"/>
      <c r="F691" s="42"/>
      <c r="G691" s="42"/>
      <c r="H691" s="42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</row>
    <row r="692">
      <c r="A692" s="8"/>
      <c r="B692" s="8"/>
      <c r="C692" s="8"/>
      <c r="D692" s="42"/>
      <c r="E692" s="42"/>
      <c r="F692" s="42"/>
      <c r="G692" s="42"/>
      <c r="H692" s="42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</row>
    <row r="693">
      <c r="A693" s="8"/>
      <c r="B693" s="8"/>
      <c r="C693" s="8"/>
      <c r="D693" s="42"/>
      <c r="E693" s="42"/>
      <c r="F693" s="42"/>
      <c r="G693" s="42"/>
      <c r="H693" s="42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</row>
    <row r="694">
      <c r="A694" s="8"/>
      <c r="B694" s="8"/>
      <c r="C694" s="8"/>
      <c r="D694" s="42"/>
      <c r="E694" s="42"/>
      <c r="F694" s="42"/>
      <c r="G694" s="42"/>
      <c r="H694" s="42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</row>
    <row r="695">
      <c r="A695" s="8"/>
      <c r="B695" s="8"/>
      <c r="C695" s="8"/>
      <c r="D695" s="42"/>
      <c r="E695" s="42"/>
      <c r="F695" s="42"/>
      <c r="G695" s="42"/>
      <c r="H695" s="42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</row>
    <row r="696">
      <c r="A696" s="8"/>
      <c r="B696" s="8"/>
      <c r="C696" s="8"/>
      <c r="D696" s="42"/>
      <c r="E696" s="42"/>
      <c r="F696" s="42"/>
      <c r="G696" s="42"/>
      <c r="H696" s="42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</row>
    <row r="697">
      <c r="A697" s="8"/>
      <c r="B697" s="8"/>
      <c r="C697" s="8"/>
      <c r="D697" s="42"/>
      <c r="E697" s="42"/>
      <c r="F697" s="42"/>
      <c r="G697" s="42"/>
      <c r="H697" s="42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</row>
    <row r="698">
      <c r="A698" s="8"/>
      <c r="B698" s="8"/>
      <c r="C698" s="8"/>
      <c r="D698" s="42"/>
      <c r="E698" s="42"/>
      <c r="F698" s="42"/>
      <c r="G698" s="42"/>
      <c r="H698" s="42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</row>
    <row r="699">
      <c r="A699" s="8"/>
      <c r="B699" s="8"/>
      <c r="C699" s="8"/>
      <c r="D699" s="42"/>
      <c r="E699" s="42"/>
      <c r="F699" s="42"/>
      <c r="G699" s="42"/>
      <c r="H699" s="42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</row>
    <row r="700">
      <c r="A700" s="8"/>
      <c r="B700" s="8"/>
      <c r="C700" s="8"/>
      <c r="D700" s="42"/>
      <c r="E700" s="42"/>
      <c r="F700" s="42"/>
      <c r="G700" s="42"/>
      <c r="H700" s="42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</row>
    <row r="701">
      <c r="A701" s="8"/>
      <c r="B701" s="8"/>
      <c r="C701" s="8"/>
      <c r="D701" s="42"/>
      <c r="E701" s="42"/>
      <c r="F701" s="42"/>
      <c r="G701" s="42"/>
      <c r="H701" s="42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</row>
    <row r="702">
      <c r="A702" s="8"/>
      <c r="B702" s="8"/>
      <c r="C702" s="8"/>
      <c r="D702" s="42"/>
      <c r="E702" s="42"/>
      <c r="F702" s="42"/>
      <c r="G702" s="42"/>
      <c r="H702" s="42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</row>
    <row r="703">
      <c r="A703" s="8"/>
      <c r="B703" s="8"/>
      <c r="C703" s="8"/>
      <c r="D703" s="42"/>
      <c r="E703" s="42"/>
      <c r="F703" s="42"/>
      <c r="G703" s="42"/>
      <c r="H703" s="42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</row>
    <row r="704">
      <c r="A704" s="8"/>
      <c r="B704" s="8"/>
      <c r="C704" s="8"/>
      <c r="D704" s="42"/>
      <c r="E704" s="42"/>
      <c r="F704" s="42"/>
      <c r="G704" s="42"/>
      <c r="H704" s="42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</row>
    <row r="705">
      <c r="A705" s="8"/>
      <c r="B705" s="8"/>
      <c r="C705" s="8"/>
      <c r="D705" s="42"/>
      <c r="E705" s="42"/>
      <c r="F705" s="42"/>
      <c r="G705" s="42"/>
      <c r="H705" s="42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</row>
    <row r="706">
      <c r="A706" s="8"/>
      <c r="B706" s="8"/>
      <c r="C706" s="8"/>
      <c r="D706" s="42"/>
      <c r="E706" s="42"/>
      <c r="F706" s="42"/>
      <c r="G706" s="42"/>
      <c r="H706" s="42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</row>
    <row r="707">
      <c r="A707" s="8"/>
      <c r="B707" s="8"/>
      <c r="C707" s="8"/>
      <c r="D707" s="42"/>
      <c r="E707" s="42"/>
      <c r="F707" s="42"/>
      <c r="G707" s="42"/>
      <c r="H707" s="42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</row>
    <row r="708">
      <c r="A708" s="8"/>
      <c r="B708" s="8"/>
      <c r="C708" s="8"/>
      <c r="D708" s="42"/>
      <c r="E708" s="42"/>
      <c r="F708" s="42"/>
      <c r="G708" s="42"/>
      <c r="H708" s="42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</row>
    <row r="709">
      <c r="A709" s="8"/>
      <c r="B709" s="8"/>
      <c r="C709" s="8"/>
      <c r="D709" s="42"/>
      <c r="E709" s="42"/>
      <c r="F709" s="42"/>
      <c r="G709" s="42"/>
      <c r="H709" s="42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</row>
    <row r="710">
      <c r="A710" s="8"/>
      <c r="B710" s="8"/>
      <c r="C710" s="8"/>
      <c r="D710" s="42"/>
      <c r="E710" s="42"/>
      <c r="F710" s="42"/>
      <c r="G710" s="42"/>
      <c r="H710" s="42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</row>
    <row r="711">
      <c r="A711" s="8"/>
      <c r="B711" s="8"/>
      <c r="C711" s="8"/>
      <c r="D711" s="42"/>
      <c r="E711" s="42"/>
      <c r="F711" s="42"/>
      <c r="G711" s="42"/>
      <c r="H711" s="42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</row>
    <row r="712">
      <c r="A712" s="8"/>
      <c r="B712" s="8"/>
      <c r="C712" s="8"/>
      <c r="D712" s="42"/>
      <c r="E712" s="42"/>
      <c r="F712" s="42"/>
      <c r="G712" s="42"/>
      <c r="H712" s="42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</row>
    <row r="713">
      <c r="A713" s="8"/>
      <c r="B713" s="8"/>
      <c r="C713" s="8"/>
      <c r="D713" s="42"/>
      <c r="E713" s="42"/>
      <c r="F713" s="42"/>
      <c r="G713" s="42"/>
      <c r="H713" s="42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</row>
    <row r="714">
      <c r="A714" s="8"/>
      <c r="B714" s="8"/>
      <c r="C714" s="8"/>
      <c r="D714" s="42"/>
      <c r="E714" s="42"/>
      <c r="F714" s="42"/>
      <c r="G714" s="42"/>
      <c r="H714" s="42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</row>
    <row r="715">
      <c r="A715" s="8"/>
      <c r="B715" s="8"/>
      <c r="C715" s="8"/>
      <c r="D715" s="42"/>
      <c r="E715" s="42"/>
      <c r="F715" s="42"/>
      <c r="G715" s="42"/>
      <c r="H715" s="42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</row>
    <row r="716">
      <c r="A716" s="8"/>
      <c r="B716" s="8"/>
      <c r="C716" s="8"/>
      <c r="D716" s="42"/>
      <c r="E716" s="42"/>
      <c r="F716" s="42"/>
      <c r="G716" s="42"/>
      <c r="H716" s="42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</row>
    <row r="717">
      <c r="A717" s="8"/>
      <c r="B717" s="8"/>
      <c r="C717" s="8"/>
      <c r="D717" s="42"/>
      <c r="E717" s="42"/>
      <c r="F717" s="42"/>
      <c r="G717" s="42"/>
      <c r="H717" s="42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</row>
    <row r="718">
      <c r="A718" s="8"/>
      <c r="B718" s="8"/>
      <c r="C718" s="8"/>
      <c r="D718" s="42"/>
      <c r="E718" s="42"/>
      <c r="F718" s="42"/>
      <c r="G718" s="42"/>
      <c r="H718" s="42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</row>
    <row r="719">
      <c r="A719" s="8"/>
      <c r="B719" s="8"/>
      <c r="C719" s="8"/>
      <c r="D719" s="42"/>
      <c r="E719" s="42"/>
      <c r="F719" s="42"/>
      <c r="G719" s="42"/>
      <c r="H719" s="42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</row>
    <row r="720">
      <c r="A720" s="8"/>
      <c r="B720" s="8"/>
      <c r="C720" s="8"/>
      <c r="D720" s="42"/>
      <c r="E720" s="42"/>
      <c r="F720" s="42"/>
      <c r="G720" s="42"/>
      <c r="H720" s="42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</row>
    <row r="721">
      <c r="A721" s="8"/>
      <c r="B721" s="8"/>
      <c r="C721" s="8"/>
      <c r="D721" s="42"/>
      <c r="E721" s="42"/>
      <c r="F721" s="42"/>
      <c r="G721" s="42"/>
      <c r="H721" s="42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</row>
    <row r="722">
      <c r="A722" s="8"/>
      <c r="B722" s="8"/>
      <c r="C722" s="8"/>
      <c r="D722" s="42"/>
      <c r="E722" s="42"/>
      <c r="F722" s="42"/>
      <c r="G722" s="42"/>
      <c r="H722" s="42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</row>
    <row r="723">
      <c r="A723" s="8"/>
      <c r="B723" s="8"/>
      <c r="C723" s="8"/>
      <c r="D723" s="42"/>
      <c r="E723" s="42"/>
      <c r="F723" s="42"/>
      <c r="G723" s="42"/>
      <c r="H723" s="42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</row>
    <row r="724">
      <c r="A724" s="8"/>
      <c r="B724" s="8"/>
      <c r="C724" s="8"/>
      <c r="D724" s="42"/>
      <c r="E724" s="42"/>
      <c r="F724" s="42"/>
      <c r="G724" s="42"/>
      <c r="H724" s="42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</row>
    <row r="725">
      <c r="A725" s="8"/>
      <c r="B725" s="8"/>
      <c r="C725" s="8"/>
      <c r="D725" s="42"/>
      <c r="E725" s="42"/>
      <c r="F725" s="42"/>
      <c r="G725" s="42"/>
      <c r="H725" s="42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</row>
    <row r="726">
      <c r="A726" s="8"/>
      <c r="B726" s="8"/>
      <c r="C726" s="8"/>
      <c r="D726" s="42"/>
      <c r="E726" s="42"/>
      <c r="F726" s="42"/>
      <c r="G726" s="42"/>
      <c r="H726" s="42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</row>
    <row r="727">
      <c r="A727" s="8"/>
      <c r="B727" s="8"/>
      <c r="C727" s="8"/>
      <c r="D727" s="42"/>
      <c r="E727" s="42"/>
      <c r="F727" s="42"/>
      <c r="G727" s="42"/>
      <c r="H727" s="42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</row>
    <row r="728">
      <c r="A728" s="8"/>
      <c r="B728" s="8"/>
      <c r="C728" s="8"/>
      <c r="D728" s="42"/>
      <c r="E728" s="42"/>
      <c r="F728" s="42"/>
      <c r="G728" s="42"/>
      <c r="H728" s="42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</row>
    <row r="729">
      <c r="A729" s="8"/>
      <c r="B729" s="8"/>
      <c r="C729" s="8"/>
      <c r="D729" s="42"/>
      <c r="E729" s="42"/>
      <c r="F729" s="42"/>
      <c r="G729" s="42"/>
      <c r="H729" s="42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</row>
    <row r="730">
      <c r="A730" s="8"/>
      <c r="B730" s="8"/>
      <c r="C730" s="8"/>
      <c r="D730" s="42"/>
      <c r="E730" s="42"/>
      <c r="F730" s="42"/>
      <c r="G730" s="42"/>
      <c r="H730" s="42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</row>
    <row r="731">
      <c r="A731" s="8"/>
      <c r="B731" s="8"/>
      <c r="C731" s="8"/>
      <c r="D731" s="42"/>
      <c r="E731" s="42"/>
      <c r="F731" s="42"/>
      <c r="G731" s="42"/>
      <c r="H731" s="42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</row>
    <row r="732">
      <c r="A732" s="8"/>
      <c r="B732" s="8"/>
      <c r="C732" s="8"/>
      <c r="D732" s="42"/>
      <c r="E732" s="42"/>
      <c r="F732" s="42"/>
      <c r="G732" s="42"/>
      <c r="H732" s="42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</row>
    <row r="733">
      <c r="A733" s="8"/>
      <c r="B733" s="8"/>
      <c r="C733" s="8"/>
      <c r="D733" s="42"/>
      <c r="E733" s="42"/>
      <c r="F733" s="42"/>
      <c r="G733" s="42"/>
      <c r="H733" s="42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</row>
    <row r="734">
      <c r="A734" s="8"/>
      <c r="B734" s="8"/>
      <c r="C734" s="8"/>
      <c r="D734" s="42"/>
      <c r="E734" s="42"/>
      <c r="F734" s="42"/>
      <c r="G734" s="42"/>
      <c r="H734" s="42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</row>
    <row r="735">
      <c r="A735" s="8"/>
      <c r="B735" s="8"/>
      <c r="C735" s="8"/>
      <c r="D735" s="42"/>
      <c r="E735" s="42"/>
      <c r="F735" s="42"/>
      <c r="G735" s="42"/>
      <c r="H735" s="42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</row>
    <row r="736">
      <c r="A736" s="8"/>
      <c r="B736" s="8"/>
      <c r="C736" s="8"/>
      <c r="D736" s="42"/>
      <c r="E736" s="42"/>
      <c r="F736" s="42"/>
      <c r="G736" s="42"/>
      <c r="H736" s="42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</row>
    <row r="737">
      <c r="A737" s="8"/>
      <c r="B737" s="8"/>
      <c r="C737" s="8"/>
      <c r="D737" s="42"/>
      <c r="E737" s="42"/>
      <c r="F737" s="42"/>
      <c r="G737" s="42"/>
      <c r="H737" s="42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</row>
    <row r="738">
      <c r="A738" s="8"/>
      <c r="B738" s="8"/>
      <c r="C738" s="8"/>
      <c r="D738" s="42"/>
      <c r="E738" s="42"/>
      <c r="F738" s="42"/>
      <c r="G738" s="42"/>
      <c r="H738" s="42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</row>
    <row r="739">
      <c r="A739" s="8"/>
      <c r="B739" s="8"/>
      <c r="C739" s="8"/>
      <c r="D739" s="42"/>
      <c r="E739" s="42"/>
      <c r="F739" s="42"/>
      <c r="G739" s="42"/>
      <c r="H739" s="42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</row>
    <row r="740">
      <c r="A740" s="8"/>
      <c r="B740" s="8"/>
      <c r="C740" s="8"/>
      <c r="D740" s="42"/>
      <c r="E740" s="42"/>
      <c r="F740" s="42"/>
      <c r="G740" s="42"/>
      <c r="H740" s="42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</row>
    <row r="741">
      <c r="A741" s="8"/>
      <c r="B741" s="8"/>
      <c r="C741" s="8"/>
      <c r="D741" s="42"/>
      <c r="E741" s="42"/>
      <c r="F741" s="42"/>
      <c r="G741" s="42"/>
      <c r="H741" s="42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</row>
    <row r="742">
      <c r="A742" s="8"/>
      <c r="B742" s="8"/>
      <c r="C742" s="8"/>
      <c r="D742" s="42"/>
      <c r="E742" s="42"/>
      <c r="F742" s="42"/>
      <c r="G742" s="42"/>
      <c r="H742" s="42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</row>
    <row r="743">
      <c r="A743" s="8"/>
      <c r="B743" s="8"/>
      <c r="C743" s="8"/>
      <c r="D743" s="42"/>
      <c r="E743" s="42"/>
      <c r="F743" s="42"/>
      <c r="G743" s="42"/>
      <c r="H743" s="42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</row>
    <row r="744">
      <c r="A744" s="8"/>
      <c r="B744" s="8"/>
      <c r="C744" s="8"/>
      <c r="D744" s="42"/>
      <c r="E744" s="42"/>
      <c r="F744" s="42"/>
      <c r="G744" s="42"/>
      <c r="H744" s="42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</row>
    <row r="745">
      <c r="A745" s="8"/>
      <c r="B745" s="8"/>
      <c r="C745" s="8"/>
      <c r="D745" s="42"/>
      <c r="E745" s="42"/>
      <c r="F745" s="42"/>
      <c r="G745" s="42"/>
      <c r="H745" s="42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</row>
    <row r="746">
      <c r="A746" s="8"/>
      <c r="B746" s="8"/>
      <c r="C746" s="8"/>
      <c r="D746" s="42"/>
      <c r="E746" s="42"/>
      <c r="F746" s="42"/>
      <c r="G746" s="42"/>
      <c r="H746" s="42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</row>
    <row r="747">
      <c r="A747" s="8"/>
      <c r="B747" s="8"/>
      <c r="C747" s="8"/>
      <c r="D747" s="42"/>
      <c r="E747" s="42"/>
      <c r="F747" s="42"/>
      <c r="G747" s="42"/>
      <c r="H747" s="42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</row>
    <row r="748">
      <c r="A748" s="8"/>
      <c r="B748" s="8"/>
      <c r="C748" s="8"/>
      <c r="D748" s="42"/>
      <c r="E748" s="42"/>
      <c r="F748" s="42"/>
      <c r="G748" s="42"/>
      <c r="H748" s="42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</row>
    <row r="749">
      <c r="A749" s="8"/>
      <c r="B749" s="8"/>
      <c r="C749" s="8"/>
      <c r="D749" s="42"/>
      <c r="E749" s="42"/>
      <c r="F749" s="42"/>
      <c r="G749" s="42"/>
      <c r="H749" s="42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</row>
    <row r="750">
      <c r="A750" s="8"/>
      <c r="B750" s="8"/>
      <c r="C750" s="8"/>
      <c r="D750" s="42"/>
      <c r="E750" s="42"/>
      <c r="F750" s="42"/>
      <c r="G750" s="42"/>
      <c r="H750" s="42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</row>
    <row r="751">
      <c r="A751" s="8"/>
      <c r="B751" s="8"/>
      <c r="C751" s="8"/>
      <c r="D751" s="42"/>
      <c r="E751" s="42"/>
      <c r="F751" s="42"/>
      <c r="G751" s="42"/>
      <c r="H751" s="42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</row>
    <row r="752">
      <c r="A752" s="8"/>
      <c r="B752" s="8"/>
      <c r="C752" s="8"/>
      <c r="D752" s="42"/>
      <c r="E752" s="42"/>
      <c r="F752" s="42"/>
      <c r="G752" s="42"/>
      <c r="H752" s="42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</row>
    <row r="753">
      <c r="A753" s="8"/>
      <c r="B753" s="8"/>
      <c r="C753" s="8"/>
      <c r="D753" s="42"/>
      <c r="E753" s="42"/>
      <c r="F753" s="42"/>
      <c r="G753" s="42"/>
      <c r="H753" s="42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</row>
    <row r="754">
      <c r="A754" s="8"/>
      <c r="B754" s="8"/>
      <c r="C754" s="8"/>
      <c r="D754" s="42"/>
      <c r="E754" s="42"/>
      <c r="F754" s="42"/>
      <c r="G754" s="42"/>
      <c r="H754" s="42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</row>
    <row r="755">
      <c r="A755" s="8"/>
      <c r="B755" s="8"/>
      <c r="C755" s="8"/>
      <c r="D755" s="42"/>
      <c r="E755" s="42"/>
      <c r="F755" s="42"/>
      <c r="G755" s="42"/>
      <c r="H755" s="42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</row>
    <row r="756">
      <c r="A756" s="8"/>
      <c r="B756" s="8"/>
      <c r="C756" s="8"/>
      <c r="D756" s="42"/>
      <c r="E756" s="42"/>
      <c r="F756" s="42"/>
      <c r="G756" s="42"/>
      <c r="H756" s="42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</row>
    <row r="757">
      <c r="A757" s="8"/>
      <c r="B757" s="8"/>
      <c r="C757" s="8"/>
      <c r="D757" s="42"/>
      <c r="E757" s="42"/>
      <c r="F757" s="42"/>
      <c r="G757" s="42"/>
      <c r="H757" s="42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</row>
    <row r="758">
      <c r="A758" s="8"/>
      <c r="B758" s="8"/>
      <c r="C758" s="8"/>
      <c r="D758" s="42"/>
      <c r="E758" s="42"/>
      <c r="F758" s="42"/>
      <c r="G758" s="42"/>
      <c r="H758" s="42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</row>
    <row r="759">
      <c r="A759" s="8"/>
      <c r="B759" s="8"/>
      <c r="C759" s="8"/>
      <c r="D759" s="42"/>
      <c r="E759" s="42"/>
      <c r="F759" s="42"/>
      <c r="G759" s="42"/>
      <c r="H759" s="42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</row>
    <row r="760">
      <c r="A760" s="8"/>
      <c r="B760" s="8"/>
      <c r="C760" s="8"/>
      <c r="D760" s="42"/>
      <c r="E760" s="42"/>
      <c r="F760" s="42"/>
      <c r="G760" s="42"/>
      <c r="H760" s="42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</row>
    <row r="761">
      <c r="A761" s="8"/>
      <c r="B761" s="8"/>
      <c r="C761" s="8"/>
      <c r="D761" s="42"/>
      <c r="E761" s="42"/>
      <c r="F761" s="42"/>
      <c r="G761" s="42"/>
      <c r="H761" s="42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</row>
    <row r="762">
      <c r="A762" s="8"/>
      <c r="B762" s="8"/>
      <c r="C762" s="8"/>
      <c r="D762" s="42"/>
      <c r="E762" s="42"/>
      <c r="F762" s="42"/>
      <c r="G762" s="42"/>
      <c r="H762" s="42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</row>
    <row r="763">
      <c r="A763" s="8"/>
      <c r="B763" s="8"/>
      <c r="C763" s="8"/>
      <c r="D763" s="42"/>
      <c r="E763" s="42"/>
      <c r="F763" s="42"/>
      <c r="G763" s="42"/>
      <c r="H763" s="42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</row>
    <row r="764">
      <c r="A764" s="8"/>
      <c r="B764" s="8"/>
      <c r="C764" s="8"/>
      <c r="D764" s="42"/>
      <c r="E764" s="42"/>
      <c r="F764" s="42"/>
      <c r="G764" s="42"/>
      <c r="H764" s="42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</row>
    <row r="765">
      <c r="A765" s="8"/>
      <c r="B765" s="8"/>
      <c r="C765" s="8"/>
      <c r="D765" s="42"/>
      <c r="E765" s="42"/>
      <c r="F765" s="42"/>
      <c r="G765" s="42"/>
      <c r="H765" s="42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</row>
    <row r="766">
      <c r="A766" s="8"/>
      <c r="B766" s="8"/>
      <c r="C766" s="8"/>
      <c r="D766" s="42"/>
      <c r="E766" s="42"/>
      <c r="F766" s="42"/>
      <c r="G766" s="42"/>
      <c r="H766" s="42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</row>
    <row r="767">
      <c r="A767" s="8"/>
      <c r="B767" s="8"/>
      <c r="C767" s="8"/>
      <c r="D767" s="42"/>
      <c r="E767" s="42"/>
      <c r="F767" s="42"/>
      <c r="G767" s="42"/>
      <c r="H767" s="42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</row>
    <row r="768">
      <c r="A768" s="8"/>
      <c r="B768" s="8"/>
      <c r="C768" s="8"/>
      <c r="D768" s="42"/>
      <c r="E768" s="42"/>
      <c r="F768" s="42"/>
      <c r="G768" s="42"/>
      <c r="H768" s="42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</row>
    <row r="769">
      <c r="A769" s="8"/>
      <c r="B769" s="8"/>
      <c r="C769" s="8"/>
      <c r="D769" s="42"/>
      <c r="E769" s="42"/>
      <c r="F769" s="42"/>
      <c r="G769" s="42"/>
      <c r="H769" s="42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</row>
    <row r="770">
      <c r="A770" s="8"/>
      <c r="B770" s="8"/>
      <c r="C770" s="8"/>
      <c r="D770" s="42"/>
      <c r="E770" s="42"/>
      <c r="F770" s="42"/>
      <c r="G770" s="42"/>
      <c r="H770" s="42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</row>
    <row r="771">
      <c r="A771" s="8"/>
      <c r="B771" s="8"/>
      <c r="C771" s="8"/>
      <c r="D771" s="42"/>
      <c r="E771" s="42"/>
      <c r="F771" s="42"/>
      <c r="G771" s="42"/>
      <c r="H771" s="42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</row>
    <row r="772">
      <c r="A772" s="8"/>
      <c r="B772" s="8"/>
      <c r="C772" s="8"/>
      <c r="D772" s="42"/>
      <c r="E772" s="42"/>
      <c r="F772" s="42"/>
      <c r="G772" s="42"/>
      <c r="H772" s="42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</row>
    <row r="773">
      <c r="A773" s="8"/>
      <c r="B773" s="8"/>
      <c r="C773" s="8"/>
      <c r="D773" s="42"/>
      <c r="E773" s="42"/>
      <c r="F773" s="42"/>
      <c r="G773" s="42"/>
      <c r="H773" s="42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</row>
    <row r="774">
      <c r="A774" s="8"/>
      <c r="B774" s="8"/>
      <c r="C774" s="8"/>
      <c r="D774" s="42"/>
      <c r="E774" s="42"/>
      <c r="F774" s="42"/>
      <c r="G774" s="42"/>
      <c r="H774" s="42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</row>
    <row r="775">
      <c r="A775" s="8"/>
      <c r="B775" s="8"/>
      <c r="C775" s="8"/>
      <c r="D775" s="42"/>
      <c r="E775" s="42"/>
      <c r="F775" s="42"/>
      <c r="G775" s="42"/>
      <c r="H775" s="42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</row>
    <row r="776">
      <c r="A776" s="8"/>
      <c r="B776" s="8"/>
      <c r="C776" s="8"/>
      <c r="D776" s="42"/>
      <c r="E776" s="42"/>
      <c r="F776" s="42"/>
      <c r="G776" s="42"/>
      <c r="H776" s="42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</row>
    <row r="777">
      <c r="A777" s="8"/>
      <c r="B777" s="8"/>
      <c r="C777" s="8"/>
      <c r="D777" s="42"/>
      <c r="E777" s="42"/>
      <c r="F777" s="42"/>
      <c r="G777" s="42"/>
      <c r="H777" s="42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</row>
    <row r="778">
      <c r="A778" s="8"/>
      <c r="B778" s="8"/>
      <c r="C778" s="8"/>
      <c r="D778" s="42"/>
      <c r="E778" s="42"/>
      <c r="F778" s="42"/>
      <c r="G778" s="42"/>
      <c r="H778" s="42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</row>
    <row r="779">
      <c r="A779" s="8"/>
      <c r="B779" s="8"/>
      <c r="C779" s="8"/>
      <c r="D779" s="42"/>
      <c r="E779" s="42"/>
      <c r="F779" s="42"/>
      <c r="G779" s="42"/>
      <c r="H779" s="42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</row>
    <row r="780">
      <c r="A780" s="8"/>
      <c r="B780" s="8"/>
      <c r="C780" s="8"/>
      <c r="D780" s="42"/>
      <c r="E780" s="42"/>
      <c r="F780" s="42"/>
      <c r="G780" s="42"/>
      <c r="H780" s="42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</row>
    <row r="781">
      <c r="A781" s="8"/>
      <c r="B781" s="8"/>
      <c r="C781" s="8"/>
      <c r="D781" s="42"/>
      <c r="E781" s="42"/>
      <c r="F781" s="42"/>
      <c r="G781" s="42"/>
      <c r="H781" s="42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</row>
    <row r="782">
      <c r="A782" s="8"/>
      <c r="B782" s="8"/>
      <c r="C782" s="8"/>
      <c r="D782" s="42"/>
      <c r="E782" s="42"/>
      <c r="F782" s="42"/>
      <c r="G782" s="42"/>
      <c r="H782" s="42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</row>
    <row r="783">
      <c r="A783" s="8"/>
      <c r="B783" s="8"/>
      <c r="C783" s="8"/>
      <c r="D783" s="42"/>
      <c r="E783" s="42"/>
      <c r="F783" s="42"/>
      <c r="G783" s="42"/>
      <c r="H783" s="42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</row>
    <row r="784">
      <c r="A784" s="8"/>
      <c r="B784" s="8"/>
      <c r="C784" s="8"/>
      <c r="D784" s="42"/>
      <c r="E784" s="42"/>
      <c r="F784" s="42"/>
      <c r="G784" s="42"/>
      <c r="H784" s="42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</row>
    <row r="785">
      <c r="A785" s="8"/>
      <c r="B785" s="8"/>
      <c r="C785" s="8"/>
      <c r="D785" s="42"/>
      <c r="E785" s="42"/>
      <c r="F785" s="42"/>
      <c r="G785" s="42"/>
      <c r="H785" s="42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</row>
    <row r="786">
      <c r="A786" s="8"/>
      <c r="B786" s="8"/>
      <c r="C786" s="8"/>
      <c r="D786" s="42"/>
      <c r="E786" s="42"/>
      <c r="F786" s="42"/>
      <c r="G786" s="42"/>
      <c r="H786" s="42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</row>
    <row r="787">
      <c r="A787" s="8"/>
      <c r="B787" s="8"/>
      <c r="C787" s="8"/>
      <c r="D787" s="42"/>
      <c r="E787" s="42"/>
      <c r="F787" s="42"/>
      <c r="G787" s="42"/>
      <c r="H787" s="42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</row>
    <row r="788">
      <c r="A788" s="8"/>
      <c r="B788" s="8"/>
      <c r="C788" s="8"/>
      <c r="D788" s="42"/>
      <c r="E788" s="42"/>
      <c r="F788" s="42"/>
      <c r="G788" s="42"/>
      <c r="H788" s="42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</row>
    <row r="789">
      <c r="A789" s="8"/>
      <c r="B789" s="8"/>
      <c r="C789" s="8"/>
      <c r="D789" s="42"/>
      <c r="E789" s="42"/>
      <c r="F789" s="42"/>
      <c r="G789" s="42"/>
      <c r="H789" s="42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</row>
    <row r="790">
      <c r="A790" s="8"/>
      <c r="B790" s="8"/>
      <c r="C790" s="8"/>
      <c r="D790" s="42"/>
      <c r="E790" s="42"/>
      <c r="F790" s="42"/>
      <c r="G790" s="42"/>
      <c r="H790" s="42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</row>
    <row r="791">
      <c r="A791" s="8"/>
      <c r="B791" s="8"/>
      <c r="C791" s="8"/>
      <c r="D791" s="42"/>
      <c r="E791" s="42"/>
      <c r="F791" s="42"/>
      <c r="G791" s="42"/>
      <c r="H791" s="42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</row>
    <row r="792">
      <c r="A792" s="8"/>
      <c r="B792" s="8"/>
      <c r="C792" s="8"/>
      <c r="D792" s="42"/>
      <c r="E792" s="42"/>
      <c r="F792" s="42"/>
      <c r="G792" s="42"/>
      <c r="H792" s="42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</row>
    <row r="793">
      <c r="A793" s="8"/>
      <c r="B793" s="8"/>
      <c r="C793" s="8"/>
      <c r="D793" s="42"/>
      <c r="E793" s="42"/>
      <c r="F793" s="42"/>
      <c r="G793" s="42"/>
      <c r="H793" s="42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</row>
    <row r="794">
      <c r="A794" s="8"/>
      <c r="B794" s="8"/>
      <c r="C794" s="8"/>
      <c r="D794" s="42"/>
      <c r="E794" s="42"/>
      <c r="F794" s="42"/>
      <c r="G794" s="42"/>
      <c r="H794" s="42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</row>
    <row r="795">
      <c r="A795" s="8"/>
      <c r="B795" s="8"/>
      <c r="C795" s="8"/>
      <c r="D795" s="42"/>
      <c r="E795" s="42"/>
      <c r="F795" s="42"/>
      <c r="G795" s="42"/>
      <c r="H795" s="42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</row>
    <row r="796">
      <c r="A796" s="8"/>
      <c r="B796" s="8"/>
      <c r="C796" s="8"/>
      <c r="D796" s="42"/>
      <c r="E796" s="42"/>
      <c r="F796" s="42"/>
      <c r="G796" s="42"/>
      <c r="H796" s="42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</row>
    <row r="797">
      <c r="A797" s="8"/>
      <c r="B797" s="8"/>
      <c r="C797" s="8"/>
      <c r="D797" s="42"/>
      <c r="E797" s="42"/>
      <c r="F797" s="42"/>
      <c r="G797" s="42"/>
      <c r="H797" s="42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</row>
    <row r="798">
      <c r="A798" s="8"/>
      <c r="B798" s="8"/>
      <c r="C798" s="8"/>
      <c r="D798" s="42"/>
      <c r="E798" s="42"/>
      <c r="F798" s="42"/>
      <c r="G798" s="42"/>
      <c r="H798" s="42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</row>
    <row r="799">
      <c r="A799" s="8"/>
      <c r="B799" s="8"/>
      <c r="C799" s="8"/>
      <c r="D799" s="42"/>
      <c r="E799" s="42"/>
      <c r="F799" s="42"/>
      <c r="G799" s="42"/>
      <c r="H799" s="42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</row>
    <row r="800">
      <c r="A800" s="8"/>
      <c r="B800" s="8"/>
      <c r="C800" s="8"/>
      <c r="D800" s="42"/>
      <c r="E800" s="42"/>
      <c r="F800" s="42"/>
      <c r="G800" s="42"/>
      <c r="H800" s="42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</row>
    <row r="801">
      <c r="A801" s="8"/>
      <c r="B801" s="8"/>
      <c r="C801" s="8"/>
      <c r="D801" s="42"/>
      <c r="E801" s="42"/>
      <c r="F801" s="42"/>
      <c r="G801" s="42"/>
      <c r="H801" s="42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</row>
    <row r="802">
      <c r="A802" s="8"/>
      <c r="B802" s="8"/>
      <c r="C802" s="8"/>
      <c r="D802" s="42"/>
      <c r="E802" s="42"/>
      <c r="F802" s="42"/>
      <c r="G802" s="42"/>
      <c r="H802" s="42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</row>
    <row r="803">
      <c r="A803" s="8"/>
      <c r="B803" s="8"/>
      <c r="C803" s="8"/>
      <c r="D803" s="42"/>
      <c r="E803" s="42"/>
      <c r="F803" s="42"/>
      <c r="G803" s="42"/>
      <c r="H803" s="42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</row>
    <row r="804">
      <c r="A804" s="8"/>
      <c r="B804" s="8"/>
      <c r="C804" s="8"/>
      <c r="D804" s="42"/>
      <c r="E804" s="42"/>
      <c r="F804" s="42"/>
      <c r="G804" s="42"/>
      <c r="H804" s="42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</row>
    <row r="805">
      <c r="A805" s="8"/>
      <c r="B805" s="8"/>
      <c r="C805" s="8"/>
      <c r="D805" s="42"/>
      <c r="E805" s="42"/>
      <c r="F805" s="42"/>
      <c r="G805" s="42"/>
      <c r="H805" s="42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</row>
    <row r="806">
      <c r="A806" s="8"/>
      <c r="B806" s="8"/>
      <c r="C806" s="8"/>
      <c r="D806" s="42"/>
      <c r="E806" s="42"/>
      <c r="F806" s="42"/>
      <c r="G806" s="42"/>
      <c r="H806" s="42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</row>
    <row r="807">
      <c r="A807" s="8"/>
      <c r="B807" s="8"/>
      <c r="C807" s="8"/>
      <c r="D807" s="42"/>
      <c r="E807" s="42"/>
      <c r="F807" s="42"/>
      <c r="G807" s="42"/>
      <c r="H807" s="42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</row>
    <row r="808">
      <c r="A808" s="8"/>
      <c r="B808" s="8"/>
      <c r="C808" s="8"/>
      <c r="D808" s="42"/>
      <c r="E808" s="42"/>
      <c r="F808" s="42"/>
      <c r="G808" s="42"/>
      <c r="H808" s="42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</row>
    <row r="809">
      <c r="A809" s="8"/>
      <c r="B809" s="8"/>
      <c r="C809" s="8"/>
      <c r="D809" s="42"/>
      <c r="E809" s="42"/>
      <c r="F809" s="42"/>
      <c r="G809" s="42"/>
      <c r="H809" s="42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</row>
    <row r="810">
      <c r="A810" s="8"/>
      <c r="B810" s="8"/>
      <c r="C810" s="8"/>
      <c r="D810" s="42"/>
      <c r="E810" s="42"/>
      <c r="F810" s="42"/>
      <c r="G810" s="42"/>
      <c r="H810" s="42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</row>
    <row r="811">
      <c r="A811" s="8"/>
      <c r="B811" s="8"/>
      <c r="C811" s="8"/>
      <c r="D811" s="42"/>
      <c r="E811" s="42"/>
      <c r="F811" s="42"/>
      <c r="G811" s="42"/>
      <c r="H811" s="42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</row>
    <row r="812">
      <c r="A812" s="8"/>
      <c r="B812" s="8"/>
      <c r="C812" s="8"/>
      <c r="D812" s="42"/>
      <c r="E812" s="42"/>
      <c r="F812" s="42"/>
      <c r="G812" s="42"/>
      <c r="H812" s="42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</row>
    <row r="813">
      <c r="A813" s="8"/>
      <c r="B813" s="8"/>
      <c r="C813" s="8"/>
      <c r="D813" s="42"/>
      <c r="E813" s="42"/>
      <c r="F813" s="42"/>
      <c r="G813" s="42"/>
      <c r="H813" s="42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</row>
    <row r="814">
      <c r="A814" s="8"/>
      <c r="B814" s="8"/>
      <c r="C814" s="8"/>
      <c r="D814" s="42"/>
      <c r="E814" s="42"/>
      <c r="F814" s="42"/>
      <c r="G814" s="42"/>
      <c r="H814" s="42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</row>
    <row r="815">
      <c r="A815" s="8"/>
      <c r="B815" s="8"/>
      <c r="C815" s="8"/>
      <c r="D815" s="42"/>
      <c r="E815" s="42"/>
      <c r="F815" s="42"/>
      <c r="G815" s="42"/>
      <c r="H815" s="42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</row>
    <row r="816">
      <c r="A816" s="8"/>
      <c r="B816" s="8"/>
      <c r="C816" s="8"/>
      <c r="D816" s="42"/>
      <c r="E816" s="42"/>
      <c r="F816" s="42"/>
      <c r="G816" s="42"/>
      <c r="H816" s="42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</row>
    <row r="817">
      <c r="A817" s="8"/>
      <c r="B817" s="8"/>
      <c r="C817" s="8"/>
      <c r="D817" s="42"/>
      <c r="E817" s="42"/>
      <c r="F817" s="42"/>
      <c r="G817" s="42"/>
      <c r="H817" s="42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</row>
    <row r="818">
      <c r="A818" s="8"/>
      <c r="B818" s="8"/>
      <c r="C818" s="8"/>
      <c r="D818" s="42"/>
      <c r="E818" s="42"/>
      <c r="F818" s="42"/>
      <c r="G818" s="42"/>
      <c r="H818" s="42"/>
      <c r="I818" s="8"/>
      <c r="Q818" s="8"/>
      <c r="R818" s="8"/>
      <c r="S818" s="8"/>
      <c r="T818" s="8"/>
      <c r="U818" s="8"/>
      <c r="V818" s="8"/>
      <c r="W818" s="8"/>
      <c r="X818" s="8"/>
    </row>
    <row r="819">
      <c r="A819" s="8"/>
      <c r="B819" s="8"/>
      <c r="C819" s="8"/>
      <c r="D819" s="42"/>
      <c r="E819" s="42"/>
      <c r="F819" s="42"/>
      <c r="G819" s="42"/>
      <c r="H819" s="42"/>
      <c r="I819" s="8"/>
      <c r="Q819" s="8"/>
      <c r="R819" s="8"/>
      <c r="S819" s="8"/>
      <c r="T819" s="8"/>
      <c r="U819" s="8"/>
      <c r="V819" s="8"/>
      <c r="W819" s="8"/>
      <c r="X819" s="8"/>
    </row>
  </sheetData>
  <mergeCells count="13">
    <mergeCell ref="G4:G5"/>
    <mergeCell ref="H4:H5"/>
    <mergeCell ref="B6:B10"/>
    <mergeCell ref="B12:B15"/>
    <mergeCell ref="B17:B21"/>
    <mergeCell ref="B23:B27"/>
    <mergeCell ref="B1:G2"/>
    <mergeCell ref="B3:B5"/>
    <mergeCell ref="C3:C5"/>
    <mergeCell ref="D3:H3"/>
    <mergeCell ref="D4:D5"/>
    <mergeCell ref="E4:E5"/>
    <mergeCell ref="F4:F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</cols>
  <sheetData>
    <row r="1">
      <c r="A1" s="200" t="s">
        <v>410</v>
      </c>
      <c r="B1" s="200" t="s">
        <v>411</v>
      </c>
      <c r="C1" s="200" t="s">
        <v>412</v>
      </c>
    </row>
    <row r="2">
      <c r="A2" s="57" t="s">
        <v>256</v>
      </c>
      <c r="B2" s="200">
        <v>2011.0</v>
      </c>
      <c r="C2" s="121">
        <v>11140.0</v>
      </c>
      <c r="D2" s="157"/>
      <c r="E2" s="157"/>
      <c r="F2" s="157"/>
    </row>
    <row r="3">
      <c r="B3" s="200">
        <v>2014.0</v>
      </c>
      <c r="C3" s="121">
        <v>9609.0</v>
      </c>
      <c r="D3" s="157"/>
      <c r="E3" s="157"/>
      <c r="F3" s="157"/>
    </row>
    <row r="4">
      <c r="B4" s="200">
        <v>2017.0</v>
      </c>
      <c r="C4" s="121">
        <v>9496.0</v>
      </c>
      <c r="D4" s="157"/>
      <c r="E4" s="157"/>
      <c r="F4" s="157"/>
    </row>
    <row r="5">
      <c r="B5" s="200">
        <v>2021.0</v>
      </c>
      <c r="C5" s="121">
        <v>11400.0</v>
      </c>
      <c r="D5" s="157"/>
      <c r="E5" s="157"/>
      <c r="F5" s="157"/>
    </row>
    <row r="6">
      <c r="B6" s="200">
        <v>2031.0</v>
      </c>
      <c r="C6" s="121">
        <v>12572.0</v>
      </c>
      <c r="D6" s="121"/>
      <c r="E6" s="121"/>
      <c r="F6" s="121"/>
    </row>
    <row r="8">
      <c r="A8" s="57" t="s">
        <v>252</v>
      </c>
      <c r="B8" s="200">
        <v>2011.0</v>
      </c>
      <c r="C8" s="121">
        <v>7719.0</v>
      </c>
      <c r="D8" s="157"/>
      <c r="E8" s="157"/>
      <c r="F8" s="157"/>
    </row>
    <row r="9">
      <c r="B9" s="200">
        <v>2014.0</v>
      </c>
      <c r="C9" s="122">
        <v>6875.0</v>
      </c>
      <c r="D9" s="86"/>
      <c r="E9" s="86"/>
      <c r="F9" s="86"/>
    </row>
    <row r="10">
      <c r="B10" s="200">
        <v>2017.0</v>
      </c>
      <c r="C10" s="122">
        <v>6570.0</v>
      </c>
      <c r="D10" s="86"/>
      <c r="E10" s="86"/>
      <c r="F10" s="86"/>
    </row>
    <row r="11">
      <c r="B11" s="200">
        <v>2021.0</v>
      </c>
      <c r="C11" s="122">
        <v>7765.0</v>
      </c>
      <c r="D11" s="86"/>
      <c r="E11" s="86"/>
      <c r="F11" s="86"/>
    </row>
    <row r="12">
      <c r="B12" s="200">
        <v>2031.0</v>
      </c>
      <c r="C12" s="122">
        <v>8278.0</v>
      </c>
      <c r="D12" s="122"/>
      <c r="E12" s="122"/>
      <c r="F12" s="122"/>
    </row>
    <row r="14">
      <c r="A14" s="57" t="s">
        <v>331</v>
      </c>
      <c r="B14" s="200">
        <v>2011.0</v>
      </c>
      <c r="C14" s="121">
        <v>13891.0</v>
      </c>
      <c r="D14" s="157"/>
      <c r="E14" s="157"/>
      <c r="F14" s="157"/>
    </row>
    <row r="15">
      <c r="B15" s="200">
        <v>2014.0</v>
      </c>
      <c r="C15" s="122">
        <v>16124.0</v>
      </c>
      <c r="D15" s="86"/>
      <c r="E15" s="86"/>
      <c r="F15" s="86"/>
    </row>
    <row r="16">
      <c r="B16" s="200">
        <v>2017.0</v>
      </c>
      <c r="C16" s="122">
        <v>13643.0</v>
      </c>
      <c r="D16" s="86"/>
      <c r="E16" s="86"/>
      <c r="F16" s="86"/>
    </row>
    <row r="17">
      <c r="B17" s="200">
        <v>2021.0</v>
      </c>
      <c r="C17" s="122">
        <v>15658.0</v>
      </c>
      <c r="D17" s="86"/>
      <c r="E17" s="86"/>
      <c r="F17" s="86"/>
    </row>
    <row r="18">
      <c r="B18" s="200">
        <v>2031.0</v>
      </c>
      <c r="C18" s="122">
        <v>17717.0</v>
      </c>
      <c r="D18" s="122"/>
      <c r="E18" s="122"/>
      <c r="F18" s="122"/>
    </row>
    <row r="20">
      <c r="A20" s="57" t="s">
        <v>243</v>
      </c>
      <c r="B20" s="200">
        <v>2011.0</v>
      </c>
      <c r="C20" s="121">
        <v>8558.0</v>
      </c>
      <c r="D20" s="157"/>
      <c r="E20" s="157"/>
      <c r="F20" s="157"/>
    </row>
    <row r="21">
      <c r="B21" s="200">
        <v>2014.0</v>
      </c>
      <c r="C21" s="121">
        <v>7677.0</v>
      </c>
      <c r="D21" s="157"/>
      <c r="E21" s="157"/>
      <c r="F21" s="157"/>
    </row>
    <row r="22">
      <c r="B22" s="200">
        <v>2017.0</v>
      </c>
      <c r="C22" s="121">
        <v>7436.0</v>
      </c>
      <c r="D22" s="157"/>
      <c r="E22" s="157"/>
      <c r="F22" s="157"/>
    </row>
    <row r="23">
      <c r="B23" s="200">
        <v>2021.0</v>
      </c>
      <c r="C23" s="121">
        <v>9038.0</v>
      </c>
      <c r="D23" s="157"/>
      <c r="E23" s="157"/>
      <c r="F23" s="157"/>
    </row>
    <row r="24">
      <c r="B24" s="200">
        <v>2031.0</v>
      </c>
      <c r="C24" s="121">
        <v>10038.0</v>
      </c>
      <c r="D24" s="121"/>
      <c r="E24" s="121"/>
      <c r="F24" s="121"/>
    </row>
    <row r="26">
      <c r="A26" s="57" t="s">
        <v>44</v>
      </c>
      <c r="B26" s="200">
        <v>2011.0</v>
      </c>
      <c r="C26" s="121">
        <v>17069.0</v>
      </c>
      <c r="D26" s="157"/>
      <c r="E26" s="157"/>
      <c r="F26" s="157"/>
    </row>
    <row r="27">
      <c r="B27" s="200">
        <v>2014.0</v>
      </c>
      <c r="C27" s="121">
        <v>25119.0</v>
      </c>
      <c r="D27" s="157"/>
      <c r="E27" s="157"/>
      <c r="F27" s="157"/>
    </row>
    <row r="28">
      <c r="B28" s="200">
        <v>2017.0</v>
      </c>
      <c r="C28" s="121">
        <v>23832.0</v>
      </c>
      <c r="D28" s="157"/>
      <c r="E28" s="157"/>
      <c r="F28" s="157"/>
    </row>
    <row r="29">
      <c r="B29" s="200">
        <v>2021.0</v>
      </c>
      <c r="C29" s="121">
        <v>30305.0</v>
      </c>
      <c r="D29" s="157"/>
      <c r="E29" s="157"/>
      <c r="F29" s="157"/>
    </row>
    <row r="30">
      <c r="B30" s="200">
        <v>2031.0</v>
      </c>
      <c r="C30" s="121">
        <v>32538.0</v>
      </c>
      <c r="D30" s="121"/>
      <c r="E30" s="121"/>
      <c r="F30" s="121"/>
    </row>
    <row r="32">
      <c r="A32" s="57" t="s">
        <v>342</v>
      </c>
      <c r="B32" s="200">
        <v>2011.0</v>
      </c>
      <c r="C32" s="121">
        <v>9086.0</v>
      </c>
      <c r="D32" s="157"/>
      <c r="E32" s="157"/>
      <c r="F32" s="157"/>
    </row>
    <row r="33">
      <c r="B33" s="200">
        <v>2014.0</v>
      </c>
      <c r="C33" s="121">
        <v>5754.0</v>
      </c>
      <c r="D33" s="157"/>
      <c r="E33" s="157"/>
      <c r="F33" s="157"/>
    </row>
    <row r="34">
      <c r="B34" s="200">
        <v>2017.0</v>
      </c>
      <c r="C34" s="121">
        <v>6403.0</v>
      </c>
      <c r="D34" s="157"/>
      <c r="E34" s="157"/>
      <c r="F34" s="157"/>
    </row>
    <row r="35">
      <c r="B35" s="200">
        <v>2021.0</v>
      </c>
      <c r="C35" s="121">
        <v>10173.0</v>
      </c>
      <c r="D35" s="157"/>
      <c r="E35" s="157"/>
      <c r="F35" s="157"/>
    </row>
    <row r="36">
      <c r="B36" s="200">
        <v>2031.0</v>
      </c>
      <c r="C36" s="121">
        <v>14291.0</v>
      </c>
      <c r="D36" s="121"/>
      <c r="E36" s="121"/>
      <c r="F36" s="121"/>
    </row>
    <row r="38">
      <c r="A38" s="57" t="s">
        <v>27</v>
      </c>
      <c r="B38" s="200">
        <v>2011.0</v>
      </c>
      <c r="C38" s="121">
        <v>28926.0</v>
      </c>
      <c r="D38" s="157"/>
      <c r="E38" s="157"/>
      <c r="F38" s="157"/>
    </row>
    <row r="39">
      <c r="B39" s="200">
        <v>2014.0</v>
      </c>
      <c r="C39" s="121">
        <v>39842.0</v>
      </c>
      <c r="D39" s="157"/>
      <c r="E39" s="157"/>
      <c r="F39" s="157"/>
    </row>
    <row r="40">
      <c r="B40" s="200">
        <v>2017.0</v>
      </c>
      <c r="C40" s="121">
        <v>33633.0</v>
      </c>
      <c r="D40" s="157"/>
      <c r="E40" s="157"/>
      <c r="F40" s="157"/>
    </row>
    <row r="41">
      <c r="B41" s="200">
        <v>2021.0</v>
      </c>
      <c r="C41" s="121">
        <v>41144.0</v>
      </c>
      <c r="D41" s="157"/>
      <c r="E41" s="157"/>
      <c r="F41" s="157"/>
    </row>
    <row r="42">
      <c r="B42" s="200">
        <v>2031.0</v>
      </c>
      <c r="C42" s="121">
        <v>42773.0</v>
      </c>
      <c r="D42" s="121"/>
      <c r="E42" s="121"/>
      <c r="F42" s="121"/>
    </row>
    <row r="44">
      <c r="A44" s="57" t="s">
        <v>54</v>
      </c>
      <c r="B44" s="200">
        <v>2011.0</v>
      </c>
      <c r="C44" s="80">
        <v>18594.0</v>
      </c>
      <c r="D44" s="157"/>
      <c r="E44" s="157"/>
      <c r="F44" s="157"/>
    </row>
    <row r="45">
      <c r="B45" s="200">
        <v>2014.0</v>
      </c>
      <c r="C45" s="121">
        <v>18972.0</v>
      </c>
      <c r="D45" s="157"/>
      <c r="E45" s="157"/>
      <c r="F45" s="157"/>
    </row>
    <row r="46">
      <c r="B46" s="200">
        <v>2017.0</v>
      </c>
      <c r="C46" s="121">
        <v>17606.0</v>
      </c>
      <c r="D46" s="157"/>
      <c r="E46" s="157"/>
      <c r="F46" s="157"/>
    </row>
    <row r="47">
      <c r="B47" s="200">
        <v>2021.0</v>
      </c>
      <c r="C47" s="121">
        <v>22101.0</v>
      </c>
      <c r="D47" s="157"/>
      <c r="E47" s="157"/>
      <c r="F47" s="157"/>
    </row>
    <row r="48">
      <c r="B48" s="200">
        <v>2031.0</v>
      </c>
      <c r="C48" s="121">
        <v>23914.0</v>
      </c>
      <c r="D48" s="121"/>
      <c r="E48" s="121"/>
      <c r="F48" s="121"/>
    </row>
    <row r="50">
      <c r="A50" s="57" t="s">
        <v>332</v>
      </c>
      <c r="B50" s="200">
        <v>2011.0</v>
      </c>
      <c r="C50" s="121">
        <v>8415.0</v>
      </c>
      <c r="D50" s="157"/>
      <c r="E50" s="157"/>
      <c r="F50" s="157"/>
    </row>
    <row r="51">
      <c r="B51" s="200">
        <v>2014.0</v>
      </c>
      <c r="C51" s="122">
        <v>8778.0</v>
      </c>
      <c r="D51" s="86"/>
      <c r="E51" s="86"/>
      <c r="F51" s="86"/>
    </row>
    <row r="52">
      <c r="B52" s="200">
        <v>2017.0</v>
      </c>
      <c r="C52" s="122">
        <v>7826.0</v>
      </c>
      <c r="D52" s="86"/>
      <c r="E52" s="86"/>
      <c r="F52" s="86"/>
    </row>
    <row r="53">
      <c r="B53" s="200">
        <v>2021.0</v>
      </c>
      <c r="C53" s="122">
        <v>8493.0</v>
      </c>
      <c r="D53" s="86"/>
      <c r="E53" s="86"/>
      <c r="F53" s="86"/>
    </row>
    <row r="54">
      <c r="B54" s="200">
        <v>2031.0</v>
      </c>
      <c r="C54" s="122">
        <v>8919.0</v>
      </c>
      <c r="D54" s="122"/>
      <c r="E54" s="122"/>
      <c r="F54" s="122"/>
    </row>
    <row r="55">
      <c r="A55" s="201"/>
      <c r="B55" s="201"/>
      <c r="C55" s="201"/>
      <c r="D55" s="201"/>
      <c r="E55" s="201"/>
      <c r="F55" s="201"/>
    </row>
    <row r="56">
      <c r="A56" s="57" t="s">
        <v>81</v>
      </c>
      <c r="B56" s="200">
        <v>2011.0</v>
      </c>
      <c r="C56" s="121">
        <v>13293.0</v>
      </c>
      <c r="D56" s="157"/>
      <c r="E56" s="157"/>
      <c r="F56" s="157"/>
    </row>
    <row r="57">
      <c r="B57" s="200">
        <v>2014.0</v>
      </c>
      <c r="C57" s="121">
        <v>16991.0</v>
      </c>
      <c r="D57" s="157"/>
      <c r="E57" s="157"/>
      <c r="F57" s="157"/>
    </row>
    <row r="58">
      <c r="B58" s="200">
        <v>2017.0</v>
      </c>
      <c r="C58" s="121">
        <v>15118.0</v>
      </c>
      <c r="D58" s="157"/>
      <c r="E58" s="157"/>
      <c r="F58" s="157"/>
    </row>
    <row r="59">
      <c r="B59" s="200">
        <v>2021.0</v>
      </c>
      <c r="C59" s="121">
        <v>17111.0</v>
      </c>
      <c r="D59" s="157"/>
      <c r="E59" s="157"/>
      <c r="F59" s="157"/>
    </row>
    <row r="60">
      <c r="B60" s="200">
        <v>2031.0</v>
      </c>
      <c r="C60" s="121">
        <v>18147.0</v>
      </c>
      <c r="D60" s="121"/>
      <c r="E60" s="121"/>
      <c r="F60" s="121"/>
    </row>
    <row r="62">
      <c r="A62" s="57" t="s">
        <v>103</v>
      </c>
      <c r="B62" s="200">
        <v>2011.0</v>
      </c>
      <c r="C62" s="121">
        <v>18685.0</v>
      </c>
      <c r="D62" s="157"/>
      <c r="E62" s="157"/>
      <c r="F62" s="157"/>
    </row>
    <row r="63">
      <c r="B63" s="200">
        <v>2014.0</v>
      </c>
      <c r="C63" s="121">
        <v>18808.0</v>
      </c>
      <c r="D63" s="157"/>
      <c r="E63" s="157"/>
      <c r="F63" s="157"/>
    </row>
    <row r="64">
      <c r="B64" s="200">
        <v>2017.0</v>
      </c>
      <c r="C64" s="121">
        <v>15511.0</v>
      </c>
      <c r="D64" s="157"/>
      <c r="E64" s="157"/>
      <c r="F64" s="157"/>
    </row>
    <row r="65">
      <c r="B65" s="200">
        <v>2021.0</v>
      </c>
      <c r="C65" s="121">
        <v>19567.0</v>
      </c>
      <c r="D65" s="157"/>
      <c r="E65" s="157"/>
      <c r="F65" s="157"/>
    </row>
    <row r="66">
      <c r="B66" s="200">
        <v>2031.0</v>
      </c>
      <c r="C66" s="121">
        <v>19594.0</v>
      </c>
      <c r="D66" s="121"/>
      <c r="E66" s="121"/>
      <c r="F66" s="121"/>
    </row>
    <row r="68">
      <c r="A68" s="57" t="s">
        <v>106</v>
      </c>
      <c r="B68" s="200">
        <v>2011.0</v>
      </c>
      <c r="C68" s="121">
        <v>10273.0</v>
      </c>
      <c r="D68" s="157"/>
      <c r="E68" s="157"/>
      <c r="F68" s="157"/>
    </row>
    <row r="69">
      <c r="B69" s="200">
        <v>2014.0</v>
      </c>
      <c r="C69" s="121">
        <v>11917.0</v>
      </c>
      <c r="D69" s="157"/>
      <c r="E69" s="157"/>
      <c r="F69" s="157"/>
    </row>
    <row r="70">
      <c r="B70" s="200">
        <v>2017.0</v>
      </c>
      <c r="C70" s="121">
        <v>8466.0</v>
      </c>
      <c r="D70" s="157"/>
      <c r="E70" s="157"/>
      <c r="F70" s="157"/>
    </row>
    <row r="71">
      <c r="B71" s="200">
        <v>2021.0</v>
      </c>
      <c r="C71" s="121">
        <v>10258.0</v>
      </c>
      <c r="D71" s="157"/>
      <c r="E71" s="157"/>
      <c r="F71" s="157"/>
    </row>
    <row r="72">
      <c r="B72" s="200">
        <v>2031.0</v>
      </c>
      <c r="C72" s="121">
        <v>10355.0</v>
      </c>
      <c r="D72" s="157"/>
      <c r="E72" s="157"/>
      <c r="F72" s="157"/>
    </row>
    <row r="74">
      <c r="A74" s="57" t="s">
        <v>65</v>
      </c>
      <c r="B74" s="200">
        <v>2011.0</v>
      </c>
      <c r="C74" s="121">
        <v>6735.0</v>
      </c>
      <c r="D74" s="157"/>
      <c r="E74" s="157"/>
      <c r="F74" s="157"/>
    </row>
    <row r="75">
      <c r="B75" s="200">
        <v>2014.0</v>
      </c>
      <c r="C75" s="57">
        <v>6664.0</v>
      </c>
      <c r="D75" s="86"/>
      <c r="E75" s="86"/>
      <c r="F75" s="86"/>
    </row>
    <row r="76">
      <c r="B76" s="200">
        <v>2017.0</v>
      </c>
      <c r="C76" s="122">
        <v>6708.0</v>
      </c>
      <c r="D76" s="86"/>
      <c r="E76" s="86"/>
      <c r="F76" s="86"/>
    </row>
    <row r="77">
      <c r="B77" s="200">
        <v>2021.0</v>
      </c>
      <c r="C77" s="122">
        <v>7033.0</v>
      </c>
      <c r="D77" s="86"/>
      <c r="E77" s="86"/>
      <c r="F77" s="86"/>
    </row>
    <row r="78">
      <c r="B78" s="200">
        <v>2031.0</v>
      </c>
      <c r="C78" s="122">
        <v>7034.0</v>
      </c>
      <c r="D78" s="122"/>
      <c r="E78" s="122"/>
      <c r="F78" s="122"/>
    </row>
    <row r="80">
      <c r="A80" s="57" t="s">
        <v>102</v>
      </c>
      <c r="B80" s="200">
        <v>2011.0</v>
      </c>
      <c r="C80" s="121">
        <v>5643.0</v>
      </c>
      <c r="D80" s="157"/>
      <c r="E80" s="157"/>
      <c r="F80" s="157"/>
    </row>
    <row r="81">
      <c r="B81" s="200">
        <v>2014.0</v>
      </c>
      <c r="C81" s="122">
        <v>6121.0</v>
      </c>
      <c r="D81" s="86"/>
      <c r="E81" s="86"/>
      <c r="F81" s="86"/>
    </row>
    <row r="82">
      <c r="B82" s="200">
        <v>2017.0</v>
      </c>
      <c r="C82" s="122">
        <v>5164.0</v>
      </c>
      <c r="D82" s="86"/>
      <c r="E82" s="86"/>
      <c r="F82" s="86"/>
    </row>
    <row r="83">
      <c r="B83" s="200">
        <v>2021.0</v>
      </c>
      <c r="C83" s="122">
        <v>6124.0</v>
      </c>
      <c r="D83" s="86"/>
      <c r="E83" s="86"/>
      <c r="F83" s="86"/>
    </row>
    <row r="84">
      <c r="B84" s="200">
        <v>2031.0</v>
      </c>
      <c r="C84" s="122">
        <v>6147.0</v>
      </c>
      <c r="D84" s="122"/>
      <c r="E84" s="122"/>
      <c r="F84" s="122"/>
    </row>
    <row r="86">
      <c r="A86" s="57" t="s">
        <v>78</v>
      </c>
      <c r="B86" s="200">
        <v>2011.0</v>
      </c>
      <c r="C86" s="121">
        <v>4260.0</v>
      </c>
      <c r="D86" s="157"/>
      <c r="E86" s="157"/>
      <c r="F86" s="157"/>
    </row>
    <row r="87">
      <c r="B87" s="200">
        <v>2014.0</v>
      </c>
      <c r="C87" s="121">
        <v>5364.0</v>
      </c>
      <c r="D87" s="157"/>
      <c r="E87" s="157"/>
      <c r="F87" s="157"/>
    </row>
    <row r="88">
      <c r="B88" s="200">
        <v>2017.0</v>
      </c>
      <c r="C88" s="121">
        <v>4630.0</v>
      </c>
      <c r="D88" s="157"/>
      <c r="E88" s="157"/>
      <c r="F88" s="157"/>
    </row>
    <row r="89">
      <c r="B89" s="200">
        <v>2021.0</v>
      </c>
      <c r="C89" s="121">
        <v>5333.0</v>
      </c>
      <c r="D89" s="157"/>
      <c r="E89" s="157"/>
      <c r="F89" s="157"/>
    </row>
    <row r="90">
      <c r="B90" s="200">
        <v>2031.0</v>
      </c>
      <c r="C90" s="121">
        <v>5530.0</v>
      </c>
      <c r="D90" s="121"/>
      <c r="E90" s="121"/>
      <c r="F90" s="121"/>
    </row>
    <row r="92">
      <c r="A92" s="57" t="s">
        <v>86</v>
      </c>
      <c r="B92" s="200">
        <v>2011.0</v>
      </c>
      <c r="C92" s="121">
        <v>17981.0</v>
      </c>
      <c r="D92" s="157"/>
      <c r="E92" s="157"/>
      <c r="F92" s="157"/>
    </row>
    <row r="93">
      <c r="B93" s="200">
        <v>2014.0</v>
      </c>
      <c r="C93" s="122">
        <v>17185.0</v>
      </c>
      <c r="D93" s="86"/>
      <c r="E93" s="86"/>
      <c r="F93" s="86"/>
    </row>
    <row r="94">
      <c r="B94" s="200">
        <v>2017.0</v>
      </c>
      <c r="C94" s="80">
        <v>16974.0</v>
      </c>
      <c r="D94" s="86"/>
      <c r="E94" s="86"/>
      <c r="F94" s="86"/>
    </row>
    <row r="95">
      <c r="B95" s="200">
        <v>2021.0</v>
      </c>
      <c r="C95" s="122">
        <v>21222.0</v>
      </c>
      <c r="D95" s="86"/>
      <c r="E95" s="86"/>
      <c r="F95" s="86"/>
    </row>
    <row r="96">
      <c r="B96" s="200">
        <v>2031.0</v>
      </c>
      <c r="C96" s="122">
        <v>21828.0</v>
      </c>
      <c r="D96" s="122"/>
      <c r="E96" s="122"/>
      <c r="F96" s="122"/>
    </row>
    <row r="98">
      <c r="A98" s="57" t="s">
        <v>286</v>
      </c>
      <c r="B98" s="200">
        <v>2011.0</v>
      </c>
      <c r="C98" s="121">
        <v>8098.0</v>
      </c>
      <c r="D98" s="185"/>
      <c r="E98" s="185"/>
      <c r="F98" s="185"/>
    </row>
    <row r="99">
      <c r="B99" s="200">
        <v>2014.0</v>
      </c>
      <c r="C99" s="122">
        <v>7561.0</v>
      </c>
      <c r="D99" s="157"/>
      <c r="E99" s="157"/>
      <c r="F99" s="157"/>
    </row>
    <row r="100">
      <c r="B100" s="200">
        <v>2017.0</v>
      </c>
      <c r="C100" s="121">
        <v>7178.0</v>
      </c>
      <c r="D100" s="157"/>
      <c r="E100" s="157"/>
      <c r="F100" s="157"/>
    </row>
    <row r="101">
      <c r="B101" s="200">
        <v>2021.0</v>
      </c>
      <c r="C101" s="121">
        <v>6809.0</v>
      </c>
      <c r="D101" s="157"/>
      <c r="E101" s="157"/>
      <c r="F101" s="157"/>
    </row>
    <row r="102">
      <c r="B102" s="200">
        <v>2031.0</v>
      </c>
      <c r="C102" s="121">
        <v>7978.0</v>
      </c>
      <c r="D102" s="121"/>
      <c r="E102" s="121"/>
      <c r="F102" s="121"/>
    </row>
    <row r="104">
      <c r="A104" s="57" t="s">
        <v>90</v>
      </c>
      <c r="B104" s="200">
        <v>2011.0</v>
      </c>
      <c r="C104" s="132">
        <v>7772.0</v>
      </c>
      <c r="D104" s="185"/>
      <c r="E104" s="185"/>
      <c r="F104" s="185"/>
    </row>
    <row r="105">
      <c r="B105" s="200">
        <v>2014.0</v>
      </c>
      <c r="C105" s="121">
        <v>8087.0</v>
      </c>
      <c r="D105" s="157"/>
      <c r="E105" s="157"/>
      <c r="F105" s="157"/>
    </row>
    <row r="106">
      <c r="B106" s="200">
        <v>2017.0</v>
      </c>
      <c r="C106" s="121">
        <v>8807.0</v>
      </c>
      <c r="D106" s="157"/>
      <c r="E106" s="157"/>
      <c r="F106" s="157"/>
    </row>
    <row r="107">
      <c r="B107" s="200">
        <v>2021.0</v>
      </c>
      <c r="C107" s="121">
        <v>9416.0</v>
      </c>
      <c r="D107" s="157"/>
      <c r="E107" s="157"/>
      <c r="F107" s="157"/>
    </row>
    <row r="108">
      <c r="B108" s="200">
        <v>2031.0</v>
      </c>
      <c r="C108" s="121">
        <v>9500.0</v>
      </c>
      <c r="D108" s="121"/>
      <c r="E108" s="121"/>
      <c r="F108" s="121"/>
    </row>
    <row r="110">
      <c r="A110" s="57" t="s">
        <v>76</v>
      </c>
      <c r="B110" s="200">
        <v>2011.0</v>
      </c>
      <c r="C110" s="121">
        <v>18336.0</v>
      </c>
      <c r="D110" s="157"/>
      <c r="E110" s="157"/>
      <c r="F110" s="157"/>
    </row>
    <row r="111">
      <c r="B111" s="200">
        <v>2014.0</v>
      </c>
      <c r="C111" s="121">
        <v>24563.0</v>
      </c>
      <c r="D111" s="157"/>
      <c r="E111" s="157"/>
      <c r="F111" s="157"/>
    </row>
    <row r="112">
      <c r="B112" s="200">
        <v>2017.0</v>
      </c>
      <c r="C112" s="121">
        <v>22523.0</v>
      </c>
      <c r="D112" s="157"/>
      <c r="E112" s="157"/>
      <c r="F112" s="157"/>
    </row>
    <row r="113">
      <c r="B113" s="200">
        <v>2021.0</v>
      </c>
      <c r="C113" s="121">
        <v>28387.0</v>
      </c>
      <c r="D113" s="157"/>
      <c r="E113" s="157"/>
      <c r="F113" s="157"/>
    </row>
    <row r="114">
      <c r="B114" s="200">
        <v>2031.0</v>
      </c>
      <c r="C114" s="121">
        <v>30197.0</v>
      </c>
      <c r="D114" s="121"/>
      <c r="E114" s="121"/>
      <c r="F114" s="121"/>
    </row>
    <row r="115">
      <c r="A115" s="165"/>
      <c r="B115" s="165"/>
      <c r="C115" s="165"/>
      <c r="D115" s="165"/>
      <c r="E115" s="165"/>
      <c r="F115" s="165"/>
    </row>
    <row r="116">
      <c r="A116" s="57" t="s">
        <v>87</v>
      </c>
      <c r="B116" s="200">
        <v>2011.0</v>
      </c>
      <c r="C116" s="121">
        <v>15055.0</v>
      </c>
      <c r="D116" s="157"/>
      <c r="E116" s="157"/>
      <c r="F116" s="157"/>
    </row>
    <row r="117">
      <c r="B117" s="200">
        <v>2014.0</v>
      </c>
      <c r="C117" s="121">
        <v>15998.0</v>
      </c>
      <c r="D117" s="157"/>
      <c r="E117" s="157"/>
      <c r="F117" s="157"/>
    </row>
    <row r="118">
      <c r="B118" s="200">
        <v>2017.0</v>
      </c>
      <c r="C118" s="121">
        <v>13210.0</v>
      </c>
      <c r="D118" s="157"/>
      <c r="E118" s="157"/>
      <c r="F118" s="157"/>
    </row>
    <row r="119">
      <c r="B119" s="200">
        <v>2021.0</v>
      </c>
      <c r="C119" s="121">
        <v>17781.0</v>
      </c>
      <c r="D119" s="157"/>
      <c r="E119" s="157"/>
      <c r="F119" s="157"/>
    </row>
    <row r="120">
      <c r="B120" s="200">
        <v>2031.0</v>
      </c>
      <c r="C120" s="121">
        <v>18156.0</v>
      </c>
      <c r="D120" s="121"/>
      <c r="E120" s="121"/>
      <c r="F120" s="121"/>
    </row>
    <row r="122">
      <c r="A122" s="57" t="s">
        <v>358</v>
      </c>
      <c r="B122" s="200">
        <v>2011.0</v>
      </c>
      <c r="C122" s="80">
        <v>23033.0</v>
      </c>
      <c r="D122" s="157"/>
      <c r="E122" s="157"/>
      <c r="F122" s="157"/>
    </row>
    <row r="123">
      <c r="B123" s="200">
        <v>2014.0</v>
      </c>
      <c r="C123" s="121">
        <v>26931.0</v>
      </c>
      <c r="D123" s="157"/>
      <c r="E123" s="157"/>
      <c r="F123" s="157"/>
    </row>
    <row r="124">
      <c r="B124" s="200">
        <v>2017.0</v>
      </c>
      <c r="C124" s="121">
        <v>35204.0</v>
      </c>
      <c r="D124" s="157"/>
      <c r="E124" s="157"/>
      <c r="F124" s="157"/>
    </row>
    <row r="125">
      <c r="B125" s="200">
        <v>2021.0</v>
      </c>
      <c r="C125" s="121">
        <v>51226.0</v>
      </c>
      <c r="D125" s="157"/>
      <c r="E125" s="157"/>
      <c r="F125" s="157"/>
    </row>
    <row r="126">
      <c r="B126" s="200">
        <v>2031.0</v>
      </c>
      <c r="C126" s="121">
        <v>53547.0</v>
      </c>
      <c r="D126" s="121"/>
      <c r="E126" s="121"/>
      <c r="F126" s="121"/>
    </row>
    <row r="128">
      <c r="A128" s="57" t="s">
        <v>85</v>
      </c>
      <c r="B128" s="200">
        <v>2011.0</v>
      </c>
      <c r="C128" s="121">
        <v>7462.0</v>
      </c>
      <c r="D128" s="157"/>
      <c r="E128" s="157"/>
      <c r="F128" s="157"/>
    </row>
    <row r="129">
      <c r="B129" s="200">
        <v>2014.0</v>
      </c>
      <c r="C129" s="121">
        <v>7111.0</v>
      </c>
      <c r="D129" s="157"/>
      <c r="E129" s="157"/>
      <c r="F129" s="157"/>
    </row>
    <row r="130">
      <c r="B130" s="200">
        <v>2017.0</v>
      </c>
      <c r="C130" s="121">
        <v>7261.0</v>
      </c>
      <c r="D130" s="157"/>
      <c r="E130" s="157"/>
      <c r="F130" s="157"/>
    </row>
    <row r="131">
      <c r="B131" s="200">
        <v>2021.0</v>
      </c>
      <c r="C131" s="121">
        <v>7765.0</v>
      </c>
      <c r="D131" s="157"/>
      <c r="E131" s="157"/>
      <c r="F131" s="157"/>
    </row>
    <row r="132">
      <c r="B132" s="200">
        <v>2031.0</v>
      </c>
      <c r="C132" s="121">
        <v>7767.0</v>
      </c>
      <c r="D132" s="121"/>
      <c r="E132" s="121"/>
      <c r="F132" s="121"/>
    </row>
    <row r="134">
      <c r="A134" s="57" t="s">
        <v>114</v>
      </c>
      <c r="B134" s="200">
        <v>2011.0</v>
      </c>
      <c r="C134" s="121">
        <v>16211.0</v>
      </c>
      <c r="D134" s="157"/>
      <c r="E134" s="157"/>
      <c r="F134" s="157"/>
    </row>
    <row r="135">
      <c r="B135" s="200">
        <v>2014.0</v>
      </c>
      <c r="C135" s="121">
        <v>16904.0</v>
      </c>
      <c r="D135" s="157"/>
      <c r="E135" s="157"/>
      <c r="F135" s="157"/>
    </row>
    <row r="136">
      <c r="B136" s="200">
        <v>2017.0</v>
      </c>
      <c r="C136" s="121">
        <v>23065.0</v>
      </c>
      <c r="D136" s="157"/>
      <c r="E136" s="157"/>
      <c r="F136" s="157"/>
    </row>
    <row r="137">
      <c r="B137" s="200">
        <v>2021.0</v>
      </c>
      <c r="C137" s="121">
        <v>30504.0</v>
      </c>
      <c r="D137" s="157"/>
      <c r="E137" s="157"/>
      <c r="F137" s="157"/>
    </row>
    <row r="138">
      <c r="B138" s="200">
        <v>2031.0</v>
      </c>
      <c r="C138" s="121">
        <v>31740.0</v>
      </c>
      <c r="D138" s="121"/>
      <c r="E138" s="121"/>
      <c r="F138" s="121"/>
    </row>
    <row r="140">
      <c r="A140" s="57" t="s">
        <v>99</v>
      </c>
      <c r="B140" s="200">
        <v>2011.0</v>
      </c>
      <c r="C140" s="121">
        <v>20603.0</v>
      </c>
      <c r="D140" s="157"/>
      <c r="E140" s="157"/>
      <c r="F140" s="157"/>
    </row>
    <row r="141">
      <c r="B141" s="200">
        <v>2014.0</v>
      </c>
      <c r="C141" s="121">
        <v>17766.0</v>
      </c>
      <c r="D141" s="157"/>
      <c r="E141" s="157"/>
      <c r="F141" s="157"/>
    </row>
    <row r="142">
      <c r="B142" s="200">
        <v>2017.0</v>
      </c>
      <c r="C142" s="121">
        <v>19686.0</v>
      </c>
      <c r="D142" s="157"/>
      <c r="E142" s="157"/>
      <c r="F142" s="157"/>
    </row>
    <row r="143">
      <c r="B143" s="200">
        <v>2021.0</v>
      </c>
      <c r="C143" s="121">
        <v>23393.0</v>
      </c>
      <c r="D143" s="157"/>
      <c r="E143" s="157"/>
      <c r="F143" s="157"/>
    </row>
    <row r="144">
      <c r="B144" s="200">
        <v>2031.0</v>
      </c>
      <c r="C144" s="121">
        <v>24135.0</v>
      </c>
      <c r="D144" s="121"/>
      <c r="E144" s="121"/>
      <c r="F144" s="121"/>
    </row>
    <row r="146">
      <c r="A146" s="57" t="s">
        <v>178</v>
      </c>
      <c r="B146" s="200">
        <v>2011.0</v>
      </c>
      <c r="C146" s="138">
        <v>4754.0</v>
      </c>
      <c r="D146" s="159"/>
      <c r="E146" s="159"/>
      <c r="F146" s="159"/>
    </row>
    <row r="147">
      <c r="B147" s="200">
        <v>2014.0</v>
      </c>
      <c r="C147" s="122">
        <v>5262.0</v>
      </c>
      <c r="D147" s="86"/>
      <c r="E147" s="86"/>
      <c r="F147" s="86"/>
    </row>
    <row r="148">
      <c r="B148" s="200">
        <v>2017.0</v>
      </c>
      <c r="C148" s="122">
        <v>5274.0</v>
      </c>
      <c r="D148" s="86"/>
      <c r="E148" s="86"/>
      <c r="F148" s="86"/>
    </row>
    <row r="149">
      <c r="B149" s="200">
        <v>2021.0</v>
      </c>
      <c r="C149" s="122">
        <v>5950.0</v>
      </c>
      <c r="D149" s="86"/>
      <c r="E149" s="86"/>
      <c r="F149" s="86"/>
    </row>
    <row r="150">
      <c r="B150" s="200">
        <v>2031.0</v>
      </c>
      <c r="C150" s="122">
        <v>6057.0</v>
      </c>
      <c r="D150" s="122"/>
      <c r="E150" s="122"/>
      <c r="F150" s="122"/>
    </row>
    <row r="152">
      <c r="A152" s="57" t="s">
        <v>83</v>
      </c>
      <c r="B152" s="200">
        <v>2011.0</v>
      </c>
      <c r="C152" s="121">
        <v>3735.0</v>
      </c>
      <c r="D152" s="157"/>
      <c r="E152" s="157"/>
      <c r="F152" s="157"/>
    </row>
    <row r="153">
      <c r="B153" s="200">
        <v>2014.0</v>
      </c>
      <c r="C153" s="121">
        <v>3665.0</v>
      </c>
      <c r="D153" s="157"/>
      <c r="E153" s="157"/>
      <c r="F153" s="157"/>
    </row>
    <row r="154">
      <c r="B154" s="200">
        <v>2017.0</v>
      </c>
      <c r="C154" s="121">
        <v>3618.0</v>
      </c>
      <c r="D154" s="157"/>
      <c r="E154" s="157"/>
      <c r="F154" s="157"/>
    </row>
    <row r="155">
      <c r="B155" s="200">
        <v>2021.0</v>
      </c>
      <c r="C155" s="121">
        <v>3901.0</v>
      </c>
      <c r="D155" s="157"/>
      <c r="E155" s="157"/>
      <c r="F155" s="157"/>
    </row>
    <row r="156">
      <c r="B156" s="200">
        <v>2031.0</v>
      </c>
      <c r="C156" s="121">
        <v>3905.0</v>
      </c>
      <c r="D156" s="121"/>
      <c r="E156" s="121"/>
      <c r="F156" s="121"/>
    </row>
    <row r="157">
      <c r="A157" s="165"/>
      <c r="B157" s="165"/>
      <c r="C157" s="165"/>
      <c r="D157" s="165"/>
      <c r="E157" s="165"/>
      <c r="F157" s="165"/>
    </row>
    <row r="158">
      <c r="A158" s="60" t="s">
        <v>262</v>
      </c>
      <c r="B158" s="200">
        <v>2011.0</v>
      </c>
      <c r="C158" s="138">
        <v>12641.0</v>
      </c>
      <c r="D158" s="159"/>
      <c r="E158" s="159"/>
      <c r="F158" s="159"/>
    </row>
    <row r="159">
      <c r="B159" s="200">
        <v>2014.0</v>
      </c>
      <c r="C159" s="121">
        <v>9070.0</v>
      </c>
      <c r="D159" s="157"/>
      <c r="E159" s="157"/>
      <c r="F159" s="157"/>
    </row>
    <row r="160">
      <c r="B160" s="200">
        <v>2017.0</v>
      </c>
      <c r="C160" s="121">
        <v>10722.0</v>
      </c>
      <c r="D160" s="157"/>
      <c r="E160" s="157"/>
      <c r="F160" s="157"/>
    </row>
    <row r="161">
      <c r="B161" s="200">
        <v>2021.0</v>
      </c>
      <c r="C161" s="121">
        <v>17166.0</v>
      </c>
      <c r="D161" s="157"/>
      <c r="E161" s="157"/>
      <c r="F161" s="157"/>
    </row>
    <row r="162">
      <c r="B162" s="200">
        <v>2031.0</v>
      </c>
      <c r="C162" s="121">
        <v>26994.0</v>
      </c>
      <c r="D162" s="121"/>
      <c r="E162" s="121"/>
      <c r="F162" s="121"/>
    </row>
    <row r="164">
      <c r="A164" s="60" t="s">
        <v>172</v>
      </c>
      <c r="B164" s="200">
        <v>2011.0</v>
      </c>
      <c r="C164" s="121">
        <v>3426.0</v>
      </c>
      <c r="D164" s="157"/>
      <c r="E164" s="157"/>
      <c r="F164" s="157"/>
    </row>
    <row r="165">
      <c r="B165" s="200">
        <v>2014.0</v>
      </c>
      <c r="C165" s="122">
        <v>3478.0</v>
      </c>
      <c r="D165" s="86"/>
      <c r="E165" s="86"/>
      <c r="F165" s="86"/>
    </row>
    <row r="166">
      <c r="B166" s="200">
        <v>2017.0</v>
      </c>
      <c r="C166" s="121">
        <v>3253.0</v>
      </c>
      <c r="D166" s="157"/>
      <c r="E166" s="157"/>
      <c r="F166" s="157"/>
    </row>
    <row r="167">
      <c r="B167" s="200">
        <v>2021.0</v>
      </c>
      <c r="C167" s="121">
        <v>3494.0</v>
      </c>
      <c r="D167" s="157"/>
      <c r="E167" s="157"/>
      <c r="F167" s="157"/>
    </row>
    <row r="168">
      <c r="B168" s="200">
        <v>2031.0</v>
      </c>
      <c r="C168" s="121">
        <v>3492.0</v>
      </c>
      <c r="D168" s="121"/>
      <c r="E168" s="121"/>
      <c r="F168" s="121"/>
    </row>
    <row r="170">
      <c r="A170" s="20" t="s">
        <v>143</v>
      </c>
      <c r="B170" s="200">
        <v>2011.0</v>
      </c>
      <c r="C170" s="121">
        <v>13872.0</v>
      </c>
      <c r="D170" s="157"/>
      <c r="E170" s="157"/>
      <c r="F170" s="157"/>
    </row>
    <row r="171">
      <c r="B171" s="200">
        <v>2014.0</v>
      </c>
      <c r="C171" s="121">
        <v>11440.0</v>
      </c>
      <c r="D171" s="157"/>
      <c r="E171" s="157"/>
      <c r="F171" s="157"/>
    </row>
    <row r="172">
      <c r="B172" s="200">
        <v>2017.0</v>
      </c>
      <c r="C172" s="138">
        <v>11550.0</v>
      </c>
      <c r="D172" s="159"/>
      <c r="E172" s="159"/>
      <c r="F172" s="159"/>
    </row>
    <row r="173">
      <c r="B173" s="200">
        <v>2021.0</v>
      </c>
      <c r="C173" s="138">
        <v>14812.0</v>
      </c>
      <c r="D173" s="157"/>
      <c r="E173" s="157"/>
      <c r="F173" s="157"/>
    </row>
    <row r="174">
      <c r="B174" s="200">
        <v>2031.0</v>
      </c>
      <c r="C174" s="138">
        <v>17715.0</v>
      </c>
      <c r="D174" s="138"/>
      <c r="E174" s="138"/>
      <c r="F174" s="138"/>
    </row>
    <row r="176">
      <c r="A176" s="60" t="s">
        <v>193</v>
      </c>
      <c r="B176" s="200">
        <v>2011.0</v>
      </c>
      <c r="C176" s="121">
        <v>6036.0</v>
      </c>
      <c r="D176" s="157"/>
      <c r="E176" s="157"/>
      <c r="F176" s="157"/>
    </row>
    <row r="177">
      <c r="B177" s="200">
        <v>2014.0</v>
      </c>
      <c r="C177" s="121">
        <v>5822.0</v>
      </c>
      <c r="D177" s="157"/>
      <c r="E177" s="157"/>
      <c r="F177" s="157"/>
    </row>
    <row r="178">
      <c r="B178" s="200">
        <v>2017.0</v>
      </c>
      <c r="C178" s="121">
        <v>5645.0</v>
      </c>
      <c r="D178" s="157"/>
      <c r="E178" s="157"/>
      <c r="F178" s="157"/>
    </row>
    <row r="179">
      <c r="B179" s="200">
        <v>2021.0</v>
      </c>
      <c r="C179" s="121">
        <v>5971.0</v>
      </c>
      <c r="D179" s="157"/>
      <c r="E179" s="157"/>
      <c r="F179" s="157"/>
    </row>
    <row r="180">
      <c r="B180" s="200">
        <v>2031.0</v>
      </c>
      <c r="C180" s="121">
        <v>5988.0</v>
      </c>
      <c r="D180" s="121"/>
      <c r="E180" s="121"/>
      <c r="F180" s="121"/>
    </row>
    <row r="182">
      <c r="A182" s="60" t="s">
        <v>167</v>
      </c>
      <c r="B182" s="200">
        <v>2011.0</v>
      </c>
      <c r="C182" s="121">
        <v>2709.0</v>
      </c>
      <c r="D182" s="157"/>
      <c r="E182" s="157"/>
      <c r="F182" s="157"/>
    </row>
    <row r="183">
      <c r="B183" s="200">
        <v>2014.0</v>
      </c>
      <c r="C183" s="121">
        <v>2739.0</v>
      </c>
      <c r="D183" s="157"/>
      <c r="E183" s="157"/>
      <c r="F183" s="157"/>
    </row>
    <row r="184">
      <c r="B184" s="200">
        <v>2017.0</v>
      </c>
      <c r="C184" s="122">
        <v>2605.0</v>
      </c>
      <c r="D184" s="86"/>
      <c r="E184" s="86"/>
      <c r="F184" s="86"/>
    </row>
    <row r="185">
      <c r="B185" s="200">
        <v>2021.0</v>
      </c>
      <c r="C185" s="122">
        <v>2701.0</v>
      </c>
      <c r="D185" s="157"/>
      <c r="E185" s="157"/>
      <c r="F185" s="157"/>
    </row>
    <row r="186">
      <c r="B186" s="200">
        <v>2031.0</v>
      </c>
      <c r="C186" s="122">
        <v>2718.0</v>
      </c>
      <c r="D186" s="122"/>
      <c r="E186" s="122"/>
      <c r="F186" s="122"/>
    </row>
    <row r="188">
      <c r="A188" s="60" t="s">
        <v>315</v>
      </c>
      <c r="B188" s="200">
        <v>2011.0</v>
      </c>
      <c r="C188" s="121">
        <v>2808.0</v>
      </c>
      <c r="D188" s="157"/>
      <c r="E188" s="157"/>
      <c r="F188" s="157"/>
    </row>
    <row r="189">
      <c r="B189" s="200">
        <v>2014.0</v>
      </c>
      <c r="C189" s="122">
        <v>2809.0</v>
      </c>
      <c r="D189" s="86"/>
      <c r="E189" s="86"/>
      <c r="F189" s="86"/>
    </row>
    <row r="190">
      <c r="B190" s="200">
        <v>2017.0</v>
      </c>
      <c r="C190" s="122">
        <v>2595.0</v>
      </c>
      <c r="D190" s="86"/>
      <c r="E190" s="86"/>
      <c r="F190" s="86"/>
    </row>
    <row r="191">
      <c r="B191" s="200">
        <v>2021.0</v>
      </c>
      <c r="C191" s="122">
        <v>2764.0</v>
      </c>
      <c r="D191" s="86"/>
      <c r="E191" s="86"/>
      <c r="F191" s="86"/>
    </row>
    <row r="192">
      <c r="B192" s="200">
        <v>2031.0</v>
      </c>
      <c r="C192" s="122">
        <v>2923.0</v>
      </c>
      <c r="D192" s="122"/>
      <c r="E192" s="122"/>
      <c r="F192" s="122"/>
    </row>
    <row r="194">
      <c r="A194" s="60" t="s">
        <v>191</v>
      </c>
      <c r="B194" s="200">
        <v>2011.0</v>
      </c>
      <c r="C194" s="121">
        <v>2981.0</v>
      </c>
      <c r="D194" s="157"/>
      <c r="E194" s="157"/>
      <c r="F194" s="157"/>
    </row>
    <row r="195">
      <c r="B195" s="200">
        <v>2014.0</v>
      </c>
      <c r="C195" s="121">
        <v>3023.0</v>
      </c>
      <c r="D195" s="157"/>
      <c r="E195" s="157"/>
      <c r="F195" s="157"/>
    </row>
    <row r="196">
      <c r="B196" s="200">
        <v>2017.0</v>
      </c>
      <c r="C196" s="121">
        <v>2859.0</v>
      </c>
      <c r="D196" s="157"/>
      <c r="E196" s="157"/>
      <c r="F196" s="157"/>
    </row>
    <row r="197">
      <c r="B197" s="200">
        <v>2021.0</v>
      </c>
      <c r="C197" s="121">
        <v>3014.0</v>
      </c>
      <c r="D197" s="157"/>
      <c r="E197" s="157"/>
      <c r="F197" s="157"/>
    </row>
    <row r="198">
      <c r="B198" s="200">
        <v>2031.0</v>
      </c>
      <c r="C198" s="121">
        <v>3026.0</v>
      </c>
      <c r="D198" s="121"/>
      <c r="E198" s="121"/>
      <c r="F198" s="121"/>
    </row>
    <row r="200">
      <c r="A200" s="60" t="s">
        <v>273</v>
      </c>
      <c r="B200" s="200">
        <v>2011.0</v>
      </c>
      <c r="C200" s="121">
        <v>4698.0</v>
      </c>
      <c r="D200" s="157"/>
      <c r="E200" s="157"/>
      <c r="F200" s="157"/>
    </row>
    <row r="201">
      <c r="B201" s="200">
        <v>2014.0</v>
      </c>
      <c r="C201" s="122">
        <v>4612.0</v>
      </c>
      <c r="D201" s="86"/>
      <c r="E201" s="86"/>
      <c r="F201" s="86"/>
    </row>
    <row r="202">
      <c r="B202" s="200">
        <v>2017.0</v>
      </c>
      <c r="C202" s="122">
        <v>4473.0</v>
      </c>
      <c r="D202" s="86"/>
      <c r="E202" s="86"/>
      <c r="F202" s="86"/>
    </row>
    <row r="203">
      <c r="B203" s="200">
        <v>2021.0</v>
      </c>
      <c r="C203" s="122">
        <v>4633.0</v>
      </c>
      <c r="D203" s="86"/>
      <c r="E203" s="86"/>
      <c r="F203" s="86"/>
    </row>
    <row r="204">
      <c r="B204" s="200">
        <v>2031.0</v>
      </c>
      <c r="C204" s="122">
        <v>4682.0</v>
      </c>
      <c r="D204" s="122"/>
      <c r="E204" s="122"/>
      <c r="F204" s="122"/>
    </row>
    <row r="206">
      <c r="A206" s="20" t="s">
        <v>148</v>
      </c>
      <c r="B206" s="200">
        <v>2011.0</v>
      </c>
      <c r="C206" s="121">
        <v>3535.0</v>
      </c>
      <c r="D206" s="157"/>
      <c r="E206" s="157"/>
      <c r="F206" s="157"/>
    </row>
    <row r="207">
      <c r="B207" s="200">
        <v>2014.0</v>
      </c>
      <c r="C207" s="122">
        <v>3606.0</v>
      </c>
      <c r="D207" s="86"/>
      <c r="E207" s="86"/>
      <c r="F207" s="86"/>
    </row>
    <row r="208">
      <c r="B208" s="200">
        <v>2017.0</v>
      </c>
      <c r="C208" s="121">
        <v>3350.0</v>
      </c>
      <c r="D208" s="157"/>
      <c r="E208" s="157"/>
      <c r="F208" s="157"/>
    </row>
    <row r="209">
      <c r="B209" s="200">
        <v>2021.0</v>
      </c>
      <c r="C209" s="121">
        <v>3605.0</v>
      </c>
      <c r="D209" s="157"/>
      <c r="E209" s="157"/>
      <c r="F209" s="157"/>
    </row>
    <row r="210">
      <c r="B210" s="200">
        <v>2031.0</v>
      </c>
      <c r="C210" s="121">
        <v>3615.0</v>
      </c>
      <c r="D210" s="121"/>
      <c r="E210" s="121"/>
      <c r="F210" s="121"/>
    </row>
    <row r="212">
      <c r="A212" s="20" t="s">
        <v>264</v>
      </c>
      <c r="B212" s="200">
        <v>2011.0</v>
      </c>
      <c r="C212" s="121">
        <v>3055.0</v>
      </c>
      <c r="D212" s="157"/>
      <c r="E212" s="157"/>
      <c r="F212" s="157"/>
    </row>
    <row r="213">
      <c r="B213" s="200">
        <v>2014.0</v>
      </c>
      <c r="C213" s="122">
        <v>2927.0</v>
      </c>
      <c r="D213" s="86"/>
      <c r="E213" s="86"/>
      <c r="F213" s="86"/>
    </row>
    <row r="214">
      <c r="B214" s="200">
        <v>2017.0</v>
      </c>
      <c r="C214" s="122">
        <v>2780.0</v>
      </c>
      <c r="D214" s="86"/>
      <c r="E214" s="86"/>
      <c r="F214" s="86"/>
    </row>
    <row r="215">
      <c r="B215" s="200">
        <v>2021.0</v>
      </c>
      <c r="C215" s="122">
        <v>3311.0</v>
      </c>
      <c r="D215" s="86"/>
      <c r="E215" s="86"/>
      <c r="F215" s="86"/>
    </row>
    <row r="216">
      <c r="B216" s="200">
        <v>2031.0</v>
      </c>
      <c r="C216" s="122">
        <v>3388.0</v>
      </c>
      <c r="D216" s="122"/>
      <c r="E216" s="122"/>
      <c r="F216" s="122"/>
    </row>
    <row r="218">
      <c r="A218" s="60" t="s">
        <v>279</v>
      </c>
      <c r="B218" s="200">
        <v>2011.0</v>
      </c>
      <c r="C218" s="121">
        <v>3171.0</v>
      </c>
      <c r="D218" s="157"/>
      <c r="E218" s="157"/>
      <c r="F218" s="157"/>
    </row>
    <row r="219">
      <c r="B219" s="200">
        <v>2014.0</v>
      </c>
      <c r="C219" s="121">
        <v>2742.0</v>
      </c>
      <c r="D219" s="157"/>
      <c r="E219" s="157"/>
      <c r="F219" s="157"/>
    </row>
    <row r="220">
      <c r="B220" s="200">
        <v>2017.0</v>
      </c>
      <c r="C220" s="121">
        <v>3166.0</v>
      </c>
      <c r="D220" s="157"/>
      <c r="E220" s="157"/>
      <c r="F220" s="157"/>
    </row>
    <row r="221">
      <c r="B221" s="200">
        <v>2021.0</v>
      </c>
      <c r="C221" s="121">
        <v>3459.0</v>
      </c>
      <c r="D221" s="157"/>
      <c r="E221" s="157"/>
      <c r="F221" s="157"/>
    </row>
    <row r="222">
      <c r="B222" s="200">
        <v>2031.0</v>
      </c>
      <c r="C222" s="121">
        <v>3494.0</v>
      </c>
      <c r="D222" s="121"/>
      <c r="E222" s="121"/>
      <c r="F222" s="121"/>
    </row>
    <row r="224">
      <c r="A224" s="60" t="s">
        <v>165</v>
      </c>
      <c r="B224" s="200">
        <v>2011.0</v>
      </c>
      <c r="C224" s="121">
        <v>1309.0</v>
      </c>
      <c r="D224" s="157"/>
      <c r="E224" s="157"/>
      <c r="F224" s="157"/>
    </row>
    <row r="225">
      <c r="B225" s="200">
        <v>2014.0</v>
      </c>
      <c r="C225" s="121">
        <v>949.0</v>
      </c>
      <c r="D225" s="157"/>
      <c r="E225" s="157"/>
      <c r="F225" s="157"/>
    </row>
    <row r="226">
      <c r="B226" s="200">
        <v>2017.0</v>
      </c>
      <c r="C226" s="121">
        <v>1090.0</v>
      </c>
      <c r="D226" s="157"/>
      <c r="E226" s="157"/>
      <c r="F226" s="157"/>
    </row>
    <row r="227">
      <c r="B227" s="200">
        <v>2021.0</v>
      </c>
      <c r="C227" s="121">
        <v>1296.0</v>
      </c>
      <c r="D227" s="157"/>
      <c r="E227" s="157"/>
      <c r="F227" s="157"/>
    </row>
    <row r="228">
      <c r="B228" s="200">
        <v>2031.0</v>
      </c>
      <c r="C228" s="121">
        <v>1340.0</v>
      </c>
      <c r="D228" s="121"/>
      <c r="E228" s="121"/>
      <c r="F228" s="121"/>
    </row>
    <row r="230">
      <c r="A230" s="60" t="s">
        <v>274</v>
      </c>
      <c r="B230" s="200">
        <v>2011.0</v>
      </c>
      <c r="C230" s="121">
        <v>4206.0</v>
      </c>
      <c r="D230" s="157"/>
      <c r="E230" s="157"/>
      <c r="F230" s="157"/>
    </row>
    <row r="231">
      <c r="B231" s="200">
        <v>2014.0</v>
      </c>
      <c r="C231" s="121">
        <v>4127.0</v>
      </c>
      <c r="D231" s="157"/>
      <c r="E231" s="157"/>
      <c r="F231" s="157"/>
    </row>
    <row r="232">
      <c r="B232" s="200">
        <v>2017.0</v>
      </c>
      <c r="C232" s="122">
        <v>3953.0</v>
      </c>
      <c r="D232" s="86"/>
      <c r="E232" s="86"/>
      <c r="F232" s="86"/>
    </row>
    <row r="233">
      <c r="B233" s="200">
        <v>2021.0</v>
      </c>
      <c r="C233" s="122">
        <v>4051.0</v>
      </c>
      <c r="D233" s="86"/>
      <c r="E233" s="86"/>
      <c r="F233" s="86"/>
    </row>
    <row r="234">
      <c r="B234" s="200">
        <v>2031.0</v>
      </c>
      <c r="C234" s="122">
        <v>4056.0</v>
      </c>
      <c r="D234" s="122"/>
      <c r="E234" s="122"/>
      <c r="F234" s="122"/>
    </row>
    <row r="236">
      <c r="A236" s="60" t="s">
        <v>280</v>
      </c>
      <c r="B236" s="200">
        <v>2011.0</v>
      </c>
      <c r="C236" s="121">
        <v>3106.0</v>
      </c>
      <c r="D236" s="157"/>
      <c r="E236" s="157"/>
      <c r="F236" s="157"/>
    </row>
    <row r="237">
      <c r="B237" s="200">
        <v>2014.0</v>
      </c>
      <c r="C237" s="121">
        <v>3065.0</v>
      </c>
      <c r="D237" s="157"/>
      <c r="E237" s="157"/>
      <c r="F237" s="157"/>
    </row>
    <row r="238">
      <c r="B238" s="200">
        <v>2017.0</v>
      </c>
      <c r="C238" s="121">
        <v>3082.0</v>
      </c>
      <c r="D238" s="157"/>
      <c r="E238" s="157"/>
      <c r="F238" s="157"/>
    </row>
    <row r="239">
      <c r="B239" s="200">
        <v>2021.0</v>
      </c>
      <c r="C239" s="121">
        <v>3152.0</v>
      </c>
      <c r="D239" s="157"/>
      <c r="E239" s="157"/>
      <c r="F239" s="157"/>
    </row>
    <row r="240">
      <c r="B240" s="200">
        <v>2031.0</v>
      </c>
      <c r="C240" s="121">
        <v>3152.0</v>
      </c>
      <c r="D240" s="121"/>
      <c r="E240" s="121"/>
      <c r="F240" s="121"/>
    </row>
    <row r="242">
      <c r="A242" s="60" t="s">
        <v>159</v>
      </c>
      <c r="B242" s="200">
        <v>2011.0</v>
      </c>
      <c r="C242" s="121">
        <v>2946.0</v>
      </c>
      <c r="D242" s="157"/>
      <c r="E242" s="157"/>
      <c r="F242" s="157"/>
    </row>
    <row r="243">
      <c r="B243" s="200">
        <v>2014.0</v>
      </c>
      <c r="C243" s="121">
        <v>2428.0</v>
      </c>
      <c r="D243" s="157"/>
      <c r="E243" s="157"/>
      <c r="F243" s="157"/>
    </row>
    <row r="244">
      <c r="B244" s="200">
        <v>2017.0</v>
      </c>
      <c r="C244" s="121">
        <v>2659.0</v>
      </c>
      <c r="D244" s="157"/>
      <c r="E244" s="157"/>
      <c r="F244" s="157"/>
    </row>
    <row r="245">
      <c r="B245" s="200">
        <v>2021.0</v>
      </c>
      <c r="C245" s="121">
        <v>2786.0</v>
      </c>
      <c r="D245" s="157"/>
      <c r="E245" s="157"/>
      <c r="F245" s="157"/>
    </row>
    <row r="246">
      <c r="B246" s="200">
        <v>2031.0</v>
      </c>
      <c r="C246" s="121">
        <v>2889.0</v>
      </c>
      <c r="D246" s="121"/>
      <c r="E246" s="121"/>
      <c r="F246" s="121"/>
    </row>
    <row r="248">
      <c r="A248" s="20" t="s">
        <v>155</v>
      </c>
      <c r="B248" s="200">
        <v>2011.0</v>
      </c>
      <c r="C248" s="121">
        <v>3006.0</v>
      </c>
      <c r="D248" s="157"/>
      <c r="E248" s="157"/>
      <c r="F248" s="157"/>
    </row>
    <row r="249">
      <c r="B249" s="200">
        <v>2014.0</v>
      </c>
      <c r="C249" s="121">
        <v>2991.0</v>
      </c>
      <c r="D249" s="157"/>
      <c r="E249" s="157"/>
      <c r="F249" s="157"/>
    </row>
    <row r="250">
      <c r="B250" s="200">
        <v>2017.0</v>
      </c>
      <c r="C250" s="121">
        <v>2819.0</v>
      </c>
      <c r="D250" s="157"/>
      <c r="E250" s="157"/>
      <c r="F250" s="157"/>
    </row>
    <row r="251">
      <c r="B251" s="200">
        <v>2021.0</v>
      </c>
      <c r="C251" s="121">
        <v>3008.0</v>
      </c>
      <c r="D251" s="157"/>
      <c r="E251" s="157"/>
      <c r="F251" s="157"/>
    </row>
    <row r="252">
      <c r="B252" s="200">
        <v>2031.0</v>
      </c>
      <c r="C252" s="121">
        <v>3005.0</v>
      </c>
      <c r="D252" s="121"/>
      <c r="E252" s="121"/>
      <c r="F252" s="121"/>
    </row>
    <row r="254">
      <c r="A254" s="60" t="s">
        <v>152</v>
      </c>
      <c r="B254" s="200">
        <v>2011.0</v>
      </c>
      <c r="C254" s="121">
        <v>1949.0</v>
      </c>
      <c r="D254" s="157"/>
      <c r="E254" s="157"/>
      <c r="F254" s="157"/>
    </row>
    <row r="255">
      <c r="B255" s="200">
        <v>2014.0</v>
      </c>
      <c r="C255" s="122">
        <v>1877.0</v>
      </c>
      <c r="D255" s="86"/>
      <c r="E255" s="86"/>
      <c r="F255" s="86"/>
    </row>
    <row r="256">
      <c r="B256" s="200">
        <v>2017.0</v>
      </c>
      <c r="C256" s="122">
        <v>1889.0</v>
      </c>
      <c r="D256" s="86"/>
      <c r="E256" s="86"/>
      <c r="F256" s="86"/>
    </row>
    <row r="257">
      <c r="B257" s="200">
        <v>2021.0</v>
      </c>
      <c r="C257" s="122">
        <v>1942.0</v>
      </c>
      <c r="D257" s="86"/>
      <c r="E257" s="86"/>
      <c r="F257" s="86"/>
    </row>
    <row r="258">
      <c r="B258" s="200">
        <v>2031.0</v>
      </c>
      <c r="C258" s="122">
        <v>1945.0</v>
      </c>
      <c r="D258" s="122"/>
      <c r="E258" s="122"/>
      <c r="F258" s="122"/>
    </row>
    <row r="260">
      <c r="A260" s="60" t="s">
        <v>196</v>
      </c>
      <c r="B260" s="200">
        <v>2011.0</v>
      </c>
      <c r="C260" s="121">
        <v>8400.0</v>
      </c>
      <c r="D260" s="157"/>
      <c r="E260" s="157"/>
      <c r="F260" s="157"/>
    </row>
    <row r="261">
      <c r="B261" s="200">
        <v>2014.0</v>
      </c>
      <c r="C261" s="121">
        <v>9005.0</v>
      </c>
      <c r="D261" s="157"/>
      <c r="E261" s="157"/>
      <c r="F261" s="157"/>
    </row>
    <row r="262">
      <c r="B262" s="200">
        <v>2017.0</v>
      </c>
      <c r="C262" s="121">
        <v>7824.0</v>
      </c>
      <c r="D262" s="157"/>
      <c r="E262" s="157"/>
      <c r="F262" s="157"/>
    </row>
    <row r="263">
      <c r="B263" s="200">
        <v>2021.0</v>
      </c>
      <c r="C263" s="121">
        <v>9057.0</v>
      </c>
      <c r="D263" s="157"/>
      <c r="E263" s="157"/>
      <c r="F263" s="157"/>
    </row>
    <row r="264">
      <c r="B264" s="200">
        <v>2031.0</v>
      </c>
      <c r="C264" s="121">
        <v>9241.0</v>
      </c>
      <c r="D264" s="121"/>
      <c r="E264" s="121"/>
      <c r="F264" s="121"/>
    </row>
    <row r="266">
      <c r="A266" s="60" t="s">
        <v>270</v>
      </c>
      <c r="B266" s="200">
        <v>2011.0</v>
      </c>
      <c r="C266" s="121">
        <v>4493.0</v>
      </c>
      <c r="D266" s="157"/>
      <c r="E266" s="157"/>
      <c r="F266" s="157"/>
    </row>
    <row r="267">
      <c r="B267" s="200">
        <v>2014.0</v>
      </c>
      <c r="C267" s="80">
        <v>4242.0</v>
      </c>
      <c r="D267" s="157"/>
      <c r="E267" s="157"/>
      <c r="F267" s="157"/>
    </row>
    <row r="268">
      <c r="B268" s="200">
        <v>2017.0</v>
      </c>
      <c r="C268" s="121">
        <v>4264.0</v>
      </c>
      <c r="D268" s="157"/>
      <c r="E268" s="157"/>
      <c r="F268" s="157"/>
    </row>
    <row r="269">
      <c r="B269" s="200">
        <v>2021.0</v>
      </c>
      <c r="C269" s="121">
        <v>4578.0</v>
      </c>
      <c r="D269" s="157"/>
      <c r="E269" s="157"/>
      <c r="F269" s="157"/>
    </row>
    <row r="270">
      <c r="B270" s="200">
        <v>2031.0</v>
      </c>
      <c r="C270" s="121">
        <v>4592.0</v>
      </c>
      <c r="D270" s="121"/>
      <c r="E270" s="121"/>
      <c r="F270" s="121"/>
    </row>
    <row r="272">
      <c r="A272" s="60" t="s">
        <v>260</v>
      </c>
      <c r="B272" s="200">
        <v>2011.0</v>
      </c>
      <c r="C272" s="121">
        <v>6808.0</v>
      </c>
      <c r="D272" s="157"/>
      <c r="E272" s="157"/>
      <c r="F272" s="157"/>
    </row>
    <row r="273">
      <c r="B273" s="200">
        <v>2014.0</v>
      </c>
      <c r="C273" s="121">
        <v>6513.0</v>
      </c>
      <c r="D273" s="157"/>
      <c r="E273" s="157"/>
      <c r="F273" s="157"/>
    </row>
    <row r="274">
      <c r="B274" s="200">
        <v>2017.0</v>
      </c>
      <c r="C274" s="121">
        <v>6141.0</v>
      </c>
      <c r="D274" s="157"/>
      <c r="E274" s="157"/>
      <c r="F274" s="157"/>
    </row>
    <row r="275">
      <c r="B275" s="200">
        <v>2021.0</v>
      </c>
      <c r="C275" s="121">
        <v>6666.0</v>
      </c>
      <c r="D275" s="157"/>
      <c r="E275" s="157"/>
      <c r="F275" s="157"/>
    </row>
    <row r="276">
      <c r="B276" s="200">
        <v>2031.0</v>
      </c>
      <c r="C276" s="121">
        <v>7211.0</v>
      </c>
      <c r="D276" s="121"/>
      <c r="E276" s="121"/>
      <c r="F276" s="121"/>
    </row>
    <row r="278">
      <c r="A278" s="20" t="s">
        <v>297</v>
      </c>
      <c r="B278" s="200">
        <v>2011.0</v>
      </c>
      <c r="C278" s="121">
        <v>4166.0</v>
      </c>
      <c r="D278" s="157"/>
      <c r="E278" s="157"/>
      <c r="F278" s="157"/>
    </row>
    <row r="279">
      <c r="B279" s="200">
        <v>2014.0</v>
      </c>
      <c r="C279" s="122">
        <v>4308.0</v>
      </c>
      <c r="D279" s="86"/>
      <c r="E279" s="86"/>
      <c r="F279" s="86"/>
    </row>
    <row r="280">
      <c r="B280" s="200">
        <v>2017.0</v>
      </c>
      <c r="C280" s="121">
        <v>3859.0</v>
      </c>
      <c r="D280" s="157"/>
      <c r="E280" s="157"/>
      <c r="F280" s="157"/>
    </row>
    <row r="281">
      <c r="B281" s="200">
        <v>2021.0</v>
      </c>
      <c r="C281" s="121">
        <v>4254.0</v>
      </c>
      <c r="D281" s="157"/>
      <c r="E281" s="157"/>
      <c r="F281" s="157"/>
    </row>
    <row r="282">
      <c r="B282" s="200">
        <v>2031.0</v>
      </c>
      <c r="C282" s="121">
        <v>4244.0</v>
      </c>
      <c r="D282" s="121"/>
      <c r="E282" s="121"/>
      <c r="F282" s="121"/>
    </row>
    <row r="284">
      <c r="A284" s="60" t="s">
        <v>277</v>
      </c>
      <c r="B284" s="200">
        <v>2011.0</v>
      </c>
      <c r="C284" s="121">
        <v>4694.0</v>
      </c>
      <c r="D284" s="157"/>
      <c r="E284" s="157"/>
      <c r="F284" s="157"/>
    </row>
    <row r="285">
      <c r="B285" s="200">
        <v>2014.0</v>
      </c>
      <c r="C285" s="121">
        <v>4838.0</v>
      </c>
      <c r="D285" s="157"/>
      <c r="E285" s="157"/>
      <c r="F285" s="157"/>
    </row>
    <row r="286">
      <c r="B286" s="200">
        <v>2017.0</v>
      </c>
      <c r="C286" s="121">
        <v>4382.0</v>
      </c>
      <c r="D286" s="157"/>
      <c r="E286" s="157"/>
      <c r="F286" s="157"/>
    </row>
    <row r="287">
      <c r="B287" s="200">
        <v>2021.0</v>
      </c>
      <c r="C287" s="121">
        <v>4888.0</v>
      </c>
      <c r="D287" s="157"/>
      <c r="E287" s="157"/>
      <c r="F287" s="157"/>
    </row>
    <row r="288">
      <c r="B288" s="200">
        <v>2031.0</v>
      </c>
      <c r="C288" s="121">
        <v>4885.0</v>
      </c>
      <c r="D288" s="121"/>
      <c r="E288" s="121"/>
      <c r="F288" s="121"/>
    </row>
    <row r="290">
      <c r="A290" s="20" t="s">
        <v>92</v>
      </c>
      <c r="B290" s="200">
        <v>2011.0</v>
      </c>
      <c r="C290" s="121">
        <v>6915.0</v>
      </c>
      <c r="D290" s="157"/>
      <c r="E290" s="157"/>
      <c r="F290" s="157"/>
    </row>
    <row r="291">
      <c r="B291" s="200">
        <v>2014.0</v>
      </c>
      <c r="C291" s="122">
        <v>7015.0</v>
      </c>
      <c r="D291" s="86"/>
      <c r="E291" s="86"/>
      <c r="F291" s="86"/>
    </row>
    <row r="292">
      <c r="B292" s="200">
        <v>2017.0</v>
      </c>
      <c r="C292" s="122">
        <v>6366.0</v>
      </c>
      <c r="D292" s="86"/>
      <c r="E292" s="86"/>
      <c r="F292" s="86"/>
    </row>
    <row r="293">
      <c r="B293" s="200">
        <v>2021.0</v>
      </c>
      <c r="C293" s="122">
        <v>7543.0</v>
      </c>
      <c r="D293" s="86"/>
      <c r="E293" s="86"/>
      <c r="F293" s="86"/>
    </row>
    <row r="294">
      <c r="B294" s="200">
        <v>2031.0</v>
      </c>
      <c r="C294" s="122">
        <v>8459.0</v>
      </c>
      <c r="D294" s="122"/>
      <c r="E294" s="122"/>
      <c r="F294" s="122"/>
    </row>
    <row r="296">
      <c r="A296" s="60" t="s">
        <v>317</v>
      </c>
      <c r="B296" s="200">
        <v>2011.0</v>
      </c>
      <c r="C296" s="121">
        <v>6653.0</v>
      </c>
      <c r="D296" s="157"/>
      <c r="E296" s="157"/>
      <c r="F296" s="157"/>
    </row>
    <row r="297">
      <c r="B297" s="200">
        <v>2014.0</v>
      </c>
      <c r="C297" s="121">
        <v>6712.0</v>
      </c>
      <c r="D297" s="157"/>
      <c r="E297" s="157"/>
      <c r="F297" s="157"/>
    </row>
    <row r="298">
      <c r="B298" s="200">
        <v>2017.0</v>
      </c>
      <c r="C298" s="121">
        <v>6307.0</v>
      </c>
      <c r="D298" s="157"/>
      <c r="E298" s="157"/>
      <c r="F298" s="157"/>
    </row>
    <row r="299">
      <c r="B299" s="200">
        <v>2021.0</v>
      </c>
      <c r="C299" s="121">
        <v>6594.0</v>
      </c>
      <c r="D299" s="157"/>
      <c r="E299" s="157"/>
      <c r="F299" s="157"/>
    </row>
    <row r="300">
      <c r="B300" s="200">
        <v>2031.0</v>
      </c>
      <c r="C300" s="121">
        <v>6842.0</v>
      </c>
      <c r="D300" s="121"/>
      <c r="E300" s="121"/>
      <c r="F300" s="121"/>
    </row>
    <row r="302">
      <c r="A302" s="20" t="s">
        <v>229</v>
      </c>
      <c r="B302" s="200">
        <v>2011.0</v>
      </c>
      <c r="C302" s="121">
        <v>7045.0</v>
      </c>
      <c r="D302" s="157"/>
      <c r="E302" s="157"/>
      <c r="F302" s="157"/>
    </row>
    <row r="303">
      <c r="B303" s="200">
        <v>2014.0</v>
      </c>
      <c r="C303" s="122">
        <v>6198.0</v>
      </c>
      <c r="D303" s="86"/>
      <c r="E303" s="86"/>
      <c r="F303" s="86"/>
    </row>
    <row r="304">
      <c r="B304" s="200">
        <v>2017.0</v>
      </c>
      <c r="C304" s="122">
        <v>6213.0</v>
      </c>
      <c r="D304" s="86"/>
      <c r="E304" s="86"/>
      <c r="F304" s="86"/>
    </row>
    <row r="305">
      <c r="B305" s="200">
        <v>2021.0</v>
      </c>
      <c r="C305" s="122">
        <v>7828.0</v>
      </c>
      <c r="D305" s="86"/>
      <c r="E305" s="86"/>
      <c r="F305" s="86"/>
    </row>
    <row r="306">
      <c r="B306" s="200">
        <v>2031.0</v>
      </c>
      <c r="C306" s="122">
        <v>9479.0</v>
      </c>
      <c r="D306" s="122"/>
      <c r="E306" s="122"/>
      <c r="F306" s="122"/>
    </row>
    <row r="308">
      <c r="A308" s="20" t="s">
        <v>147</v>
      </c>
      <c r="B308" s="200">
        <v>2011.0</v>
      </c>
      <c r="C308" s="121">
        <v>2840.0</v>
      </c>
      <c r="D308" s="157"/>
      <c r="E308" s="157"/>
      <c r="F308" s="157"/>
    </row>
    <row r="309">
      <c r="B309" s="200">
        <v>2014.0</v>
      </c>
      <c r="C309" s="122">
        <v>2747.0</v>
      </c>
      <c r="D309" s="86"/>
      <c r="E309" s="86"/>
      <c r="F309" s="86"/>
    </row>
    <row r="310">
      <c r="B310" s="200">
        <v>2017.0</v>
      </c>
      <c r="C310" s="122">
        <v>2738.0</v>
      </c>
      <c r="D310" s="86"/>
      <c r="E310" s="86"/>
      <c r="F310" s="86"/>
    </row>
    <row r="311">
      <c r="B311" s="200">
        <v>2021.0</v>
      </c>
      <c r="C311" s="122">
        <v>2828.0</v>
      </c>
      <c r="D311" s="86"/>
      <c r="E311" s="86"/>
      <c r="F311" s="86"/>
    </row>
    <row r="312">
      <c r="B312" s="200">
        <v>2031.0</v>
      </c>
      <c r="C312" s="122">
        <v>2829.0</v>
      </c>
      <c r="D312" s="122"/>
      <c r="E312" s="122"/>
      <c r="F312" s="122"/>
    </row>
    <row r="314">
      <c r="A314" s="60" t="s">
        <v>316</v>
      </c>
      <c r="B314" s="200">
        <v>2011.0</v>
      </c>
      <c r="C314" s="121">
        <v>3283.0</v>
      </c>
      <c r="D314" s="157"/>
      <c r="E314" s="157"/>
      <c r="F314" s="157"/>
    </row>
    <row r="315">
      <c r="B315" s="200">
        <v>2014.0</v>
      </c>
      <c r="C315" s="121">
        <v>3366.0</v>
      </c>
      <c r="D315" s="157"/>
      <c r="E315" s="157"/>
      <c r="F315" s="157"/>
    </row>
    <row r="316">
      <c r="B316" s="200">
        <v>2017.0</v>
      </c>
      <c r="C316" s="121">
        <v>3074.0</v>
      </c>
      <c r="D316" s="157"/>
      <c r="E316" s="157"/>
      <c r="F316" s="157"/>
    </row>
    <row r="317">
      <c r="B317" s="200">
        <v>2021.0</v>
      </c>
      <c r="C317" s="121">
        <v>3240.0</v>
      </c>
      <c r="D317" s="157"/>
      <c r="E317" s="157"/>
      <c r="F317" s="157"/>
    </row>
    <row r="318">
      <c r="B318" s="200">
        <v>2031.0</v>
      </c>
      <c r="C318" s="121">
        <v>3251.0</v>
      </c>
      <c r="D318" s="121"/>
      <c r="E318" s="121"/>
      <c r="F318" s="121"/>
    </row>
    <row r="320">
      <c r="A320" s="60" t="s">
        <v>194</v>
      </c>
      <c r="B320" s="200">
        <v>2011.0</v>
      </c>
      <c r="C320" s="121">
        <v>4705.0</v>
      </c>
      <c r="D320" s="157"/>
      <c r="E320" s="157"/>
      <c r="F320" s="157"/>
    </row>
    <row r="321">
      <c r="B321" s="200">
        <v>2014.0</v>
      </c>
      <c r="C321" s="121">
        <v>4694.0</v>
      </c>
      <c r="D321" s="157"/>
      <c r="E321" s="157"/>
      <c r="F321" s="157"/>
    </row>
    <row r="322">
      <c r="B322" s="200">
        <v>2017.0</v>
      </c>
      <c r="C322" s="121">
        <v>4280.0</v>
      </c>
      <c r="D322" s="157"/>
      <c r="E322" s="157"/>
      <c r="F322" s="157"/>
    </row>
    <row r="323">
      <c r="B323" s="200">
        <v>2021.0</v>
      </c>
      <c r="C323" s="121">
        <v>4619.0</v>
      </c>
      <c r="D323" s="157"/>
      <c r="E323" s="157"/>
      <c r="F323" s="157"/>
    </row>
    <row r="324">
      <c r="B324" s="200">
        <v>2031.0</v>
      </c>
      <c r="C324" s="121">
        <v>4601.0</v>
      </c>
      <c r="D324" s="121"/>
      <c r="E324" s="121"/>
      <c r="F324" s="121"/>
    </row>
    <row r="326">
      <c r="A326" s="60" t="s">
        <v>197</v>
      </c>
      <c r="B326" s="200">
        <v>2011.0</v>
      </c>
      <c r="C326" s="121">
        <v>3628.0</v>
      </c>
      <c r="D326" s="157"/>
      <c r="E326" s="157"/>
      <c r="F326" s="157"/>
    </row>
    <row r="327">
      <c r="B327" s="200">
        <v>2014.0</v>
      </c>
      <c r="C327" s="121">
        <v>3337.0</v>
      </c>
      <c r="D327" s="157"/>
      <c r="E327" s="157"/>
      <c r="F327" s="157"/>
    </row>
    <row r="328">
      <c r="B328" s="200">
        <v>2017.0</v>
      </c>
      <c r="C328" s="121">
        <v>3390.0</v>
      </c>
      <c r="D328" s="157"/>
      <c r="E328" s="157"/>
      <c r="F328" s="157"/>
    </row>
    <row r="329">
      <c r="B329" s="200">
        <v>2021.0</v>
      </c>
      <c r="C329" s="121">
        <v>3214.0</v>
      </c>
      <c r="D329" s="157"/>
      <c r="E329" s="157"/>
      <c r="F329" s="157"/>
    </row>
    <row r="330">
      <c r="B330" s="200">
        <v>2031.0</v>
      </c>
      <c r="C330" s="121">
        <v>3212.0</v>
      </c>
      <c r="D330" s="121"/>
      <c r="E330" s="121"/>
      <c r="F330" s="121"/>
    </row>
    <row r="332">
      <c r="A332" s="60" t="s">
        <v>186</v>
      </c>
      <c r="B332" s="200">
        <v>2011.0</v>
      </c>
      <c r="C332" s="121">
        <v>5392.0</v>
      </c>
      <c r="D332" s="157"/>
      <c r="E332" s="157"/>
      <c r="F332" s="157"/>
    </row>
    <row r="333">
      <c r="B333" s="200">
        <v>2014.0</v>
      </c>
      <c r="C333" s="121">
        <v>5590.0</v>
      </c>
      <c r="D333" s="157"/>
      <c r="E333" s="157"/>
      <c r="F333" s="157"/>
    </row>
    <row r="334">
      <c r="B334" s="200">
        <v>2017.0</v>
      </c>
      <c r="C334" s="121">
        <v>5006.0</v>
      </c>
      <c r="D334" s="157"/>
      <c r="E334" s="157"/>
      <c r="F334" s="157"/>
    </row>
    <row r="335">
      <c r="B335" s="200">
        <v>2021.0</v>
      </c>
      <c r="C335" s="121">
        <v>5762.0</v>
      </c>
      <c r="D335" s="157"/>
      <c r="E335" s="157"/>
      <c r="F335" s="157"/>
    </row>
    <row r="336">
      <c r="B336" s="200">
        <v>2031.0</v>
      </c>
      <c r="C336" s="121">
        <v>5790.0</v>
      </c>
      <c r="D336" s="121"/>
      <c r="E336" s="121"/>
      <c r="F336" s="121"/>
    </row>
    <row r="338">
      <c r="A338" s="60" t="s">
        <v>190</v>
      </c>
      <c r="B338" s="200">
        <v>2011.0</v>
      </c>
      <c r="C338" s="121">
        <v>3776.0</v>
      </c>
      <c r="D338" s="157"/>
      <c r="E338" s="157"/>
      <c r="F338" s="157"/>
    </row>
    <row r="339">
      <c r="B339" s="200">
        <v>2014.0</v>
      </c>
      <c r="C339" s="121">
        <v>3702.0</v>
      </c>
      <c r="D339" s="157"/>
      <c r="E339" s="157"/>
      <c r="F339" s="157"/>
    </row>
    <row r="340">
      <c r="B340" s="200">
        <v>2017.0</v>
      </c>
      <c r="C340" s="121">
        <v>3616.0</v>
      </c>
      <c r="D340" s="157"/>
      <c r="E340" s="157"/>
      <c r="F340" s="157"/>
    </row>
    <row r="341">
      <c r="B341" s="200">
        <v>2021.0</v>
      </c>
      <c r="C341" s="121">
        <v>3747.0</v>
      </c>
      <c r="D341" s="157"/>
      <c r="E341" s="157"/>
      <c r="F341" s="157"/>
    </row>
    <row r="342">
      <c r="B342" s="200">
        <v>2031.0</v>
      </c>
      <c r="C342" s="121">
        <v>3765.0</v>
      </c>
      <c r="D342" s="121"/>
      <c r="E342" s="121"/>
      <c r="F342" s="121"/>
    </row>
    <row r="344">
      <c r="A344" s="20" t="s">
        <v>284</v>
      </c>
      <c r="B344" s="200">
        <v>2011.0</v>
      </c>
      <c r="C344" s="121">
        <v>7891.0</v>
      </c>
      <c r="D344" s="157"/>
      <c r="E344" s="157"/>
      <c r="F344" s="157"/>
    </row>
    <row r="345">
      <c r="B345" s="200">
        <v>2014.0</v>
      </c>
      <c r="C345" s="122">
        <v>6972.0</v>
      </c>
      <c r="D345" s="86"/>
      <c r="E345" s="86"/>
      <c r="F345" s="86"/>
    </row>
    <row r="346">
      <c r="B346" s="200">
        <v>2017.0</v>
      </c>
      <c r="C346" s="122">
        <v>7482.0</v>
      </c>
      <c r="D346" s="86"/>
      <c r="E346" s="86"/>
      <c r="F346" s="86"/>
    </row>
    <row r="347">
      <c r="B347" s="200">
        <v>2021.0</v>
      </c>
      <c r="C347" s="122">
        <v>7441.0</v>
      </c>
      <c r="D347" s="86"/>
      <c r="E347" s="86"/>
      <c r="F347" s="86"/>
    </row>
    <row r="348">
      <c r="B348" s="200">
        <v>2031.0</v>
      </c>
      <c r="C348" s="122">
        <v>7540.0</v>
      </c>
      <c r="D348" s="122"/>
      <c r="E348" s="122"/>
      <c r="F348" s="122"/>
    </row>
    <row r="350">
      <c r="A350" s="60" t="s">
        <v>330</v>
      </c>
      <c r="B350" s="200">
        <v>2011.0</v>
      </c>
      <c r="C350" s="121">
        <v>2531.0</v>
      </c>
      <c r="D350" s="157"/>
      <c r="E350" s="157"/>
      <c r="F350" s="157"/>
    </row>
    <row r="351">
      <c r="B351" s="200">
        <v>2014.0</v>
      </c>
      <c r="C351" s="121">
        <v>2584.0</v>
      </c>
      <c r="D351" s="157"/>
      <c r="E351" s="157"/>
      <c r="F351" s="157"/>
    </row>
    <row r="352">
      <c r="B352" s="200">
        <v>2017.0</v>
      </c>
      <c r="C352" s="121">
        <v>2253.0</v>
      </c>
      <c r="D352" s="157"/>
      <c r="E352" s="157"/>
      <c r="F352" s="157"/>
    </row>
    <row r="353">
      <c r="B353" s="200">
        <v>2021.0</v>
      </c>
      <c r="C353" s="121">
        <v>2533.0</v>
      </c>
      <c r="D353" s="157"/>
      <c r="E353" s="157"/>
      <c r="F353" s="157"/>
    </row>
    <row r="354">
      <c r="B354" s="200">
        <v>2031.0</v>
      </c>
      <c r="C354" s="121">
        <v>2536.0</v>
      </c>
      <c r="D354" s="121"/>
      <c r="E354" s="121"/>
      <c r="F354" s="121"/>
    </row>
    <row r="356">
      <c r="A356" s="20" t="s">
        <v>233</v>
      </c>
      <c r="B356" s="200">
        <v>2011.0</v>
      </c>
      <c r="C356" s="121">
        <v>3881.0</v>
      </c>
      <c r="D356" s="157"/>
      <c r="E356" s="157"/>
      <c r="F356" s="157"/>
    </row>
    <row r="357">
      <c r="B357" s="200">
        <v>2014.0</v>
      </c>
      <c r="C357" s="121">
        <v>3815.0</v>
      </c>
      <c r="D357" s="157"/>
      <c r="E357" s="157"/>
      <c r="F357" s="157"/>
    </row>
    <row r="358">
      <c r="B358" s="200">
        <v>2017.0</v>
      </c>
      <c r="C358" s="121">
        <v>3563.0</v>
      </c>
      <c r="D358" s="157"/>
      <c r="E358" s="157"/>
      <c r="F358" s="157"/>
    </row>
    <row r="359">
      <c r="B359" s="200">
        <v>2021.0</v>
      </c>
      <c r="C359" s="121">
        <v>3978.0</v>
      </c>
      <c r="D359" s="157"/>
      <c r="E359" s="157"/>
      <c r="F359" s="157"/>
    </row>
    <row r="360">
      <c r="B360" s="200">
        <v>2031.0</v>
      </c>
      <c r="C360" s="121">
        <v>4016.0</v>
      </c>
      <c r="D360" s="121"/>
      <c r="E360" s="121"/>
      <c r="F360" s="121"/>
    </row>
    <row r="362">
      <c r="A362" s="20" t="s">
        <v>271</v>
      </c>
      <c r="B362" s="200">
        <v>2011.0</v>
      </c>
      <c r="C362" s="121">
        <v>4547.0</v>
      </c>
      <c r="D362" s="157"/>
      <c r="E362" s="157"/>
      <c r="F362" s="157"/>
    </row>
    <row r="363">
      <c r="B363" s="200">
        <v>2014.0</v>
      </c>
      <c r="C363" s="122">
        <v>4250.0</v>
      </c>
      <c r="D363" s="86"/>
      <c r="E363" s="86"/>
      <c r="F363" s="86"/>
    </row>
    <row r="364">
      <c r="B364" s="200">
        <v>2017.0</v>
      </c>
      <c r="C364" s="122">
        <v>3895.0</v>
      </c>
      <c r="D364" s="86"/>
      <c r="E364" s="86"/>
      <c r="F364" s="86"/>
    </row>
    <row r="365">
      <c r="B365" s="200">
        <v>2021.0</v>
      </c>
      <c r="C365" s="122">
        <v>5290.0</v>
      </c>
      <c r="D365" s="86"/>
      <c r="E365" s="86"/>
      <c r="F365" s="86"/>
    </row>
    <row r="366">
      <c r="B366" s="200">
        <v>2031.0</v>
      </c>
      <c r="C366" s="122">
        <v>5751.0</v>
      </c>
      <c r="D366" s="122"/>
      <c r="E366" s="122"/>
      <c r="F366" s="122"/>
    </row>
    <row r="368">
      <c r="A368" s="60" t="s">
        <v>16</v>
      </c>
      <c r="B368" s="200">
        <v>2011.0</v>
      </c>
      <c r="C368" s="121">
        <v>7679.0</v>
      </c>
      <c r="D368" s="157"/>
      <c r="E368" s="157"/>
      <c r="F368" s="157"/>
    </row>
    <row r="369">
      <c r="B369" s="200">
        <v>2014.0</v>
      </c>
      <c r="C369" s="122">
        <v>8375.0</v>
      </c>
      <c r="D369" s="86"/>
      <c r="E369" s="86"/>
      <c r="F369" s="86"/>
    </row>
    <row r="370">
      <c r="B370" s="200">
        <v>2017.0</v>
      </c>
      <c r="C370" s="122">
        <v>6773.0</v>
      </c>
      <c r="D370" s="86"/>
      <c r="E370" s="86"/>
      <c r="F370" s="86"/>
    </row>
    <row r="371">
      <c r="B371" s="200">
        <v>2021.0</v>
      </c>
      <c r="C371" s="122">
        <v>8941.0</v>
      </c>
      <c r="D371" s="86"/>
      <c r="E371" s="86"/>
      <c r="F371" s="86"/>
    </row>
    <row r="372">
      <c r="B372" s="200">
        <v>2031.0</v>
      </c>
      <c r="C372" s="122">
        <v>9001.0</v>
      </c>
      <c r="D372" s="122"/>
      <c r="E372" s="122"/>
      <c r="F372" s="122"/>
    </row>
    <row r="374">
      <c r="A374" s="200" t="s">
        <v>221</v>
      </c>
      <c r="B374" s="200">
        <v>2011.0</v>
      </c>
      <c r="C374" s="121">
        <v>4234.0</v>
      </c>
      <c r="D374" s="121"/>
      <c r="E374" s="121"/>
      <c r="F374" s="121"/>
    </row>
    <row r="375">
      <c r="B375" s="200">
        <v>2014.0</v>
      </c>
      <c r="C375" s="121">
        <v>4278.0</v>
      </c>
      <c r="D375" s="121"/>
      <c r="E375" s="121"/>
      <c r="F375" s="121"/>
    </row>
    <row r="376">
      <c r="B376" s="200">
        <v>2017.0</v>
      </c>
      <c r="C376" s="121">
        <v>3850.0</v>
      </c>
      <c r="D376" s="121"/>
      <c r="E376" s="121"/>
      <c r="F376" s="121"/>
    </row>
    <row r="377">
      <c r="B377" s="200">
        <v>2021.0</v>
      </c>
      <c r="C377" s="121">
        <v>4272.0</v>
      </c>
      <c r="D377" s="121"/>
      <c r="E377" s="121"/>
      <c r="F377" s="121"/>
    </row>
    <row r="378">
      <c r="B378" s="200">
        <v>2031.0</v>
      </c>
      <c r="C378" s="121">
        <v>4284.0</v>
      </c>
      <c r="D378" s="121"/>
      <c r="E378" s="121"/>
      <c r="F378" s="121"/>
    </row>
    <row r="380">
      <c r="A380" s="20" t="s">
        <v>261</v>
      </c>
      <c r="B380" s="200">
        <v>2011.0</v>
      </c>
      <c r="C380" s="138">
        <v>3782.0</v>
      </c>
    </row>
    <row r="381">
      <c r="B381" s="200">
        <v>2014.0</v>
      </c>
      <c r="C381" s="138">
        <v>3692.0</v>
      </c>
    </row>
    <row r="382">
      <c r="B382" s="200">
        <v>2017.0</v>
      </c>
      <c r="C382" s="121">
        <v>3587.0</v>
      </c>
    </row>
    <row r="383">
      <c r="B383" s="200">
        <v>2021.0</v>
      </c>
      <c r="C383" s="121">
        <v>3808.0</v>
      </c>
    </row>
    <row r="384">
      <c r="B384" s="200">
        <v>2031.0</v>
      </c>
      <c r="C384" s="121">
        <v>3914.0</v>
      </c>
    </row>
    <row r="386">
      <c r="A386" s="20" t="s">
        <v>295</v>
      </c>
      <c r="B386" s="200">
        <v>2011.0</v>
      </c>
      <c r="C386" s="121">
        <v>5576.0</v>
      </c>
      <c r="D386" s="157">
        <v>24757.0</v>
      </c>
      <c r="E386" s="157"/>
      <c r="F386" s="157"/>
    </row>
    <row r="387">
      <c r="B387" s="200">
        <v>2014.0</v>
      </c>
      <c r="C387" s="122">
        <v>5129.0</v>
      </c>
      <c r="D387" s="86">
        <v>57049.0</v>
      </c>
      <c r="E387" s="86"/>
      <c r="F387" s="86"/>
    </row>
    <row r="388">
      <c r="B388" s="200">
        <v>2017.0</v>
      </c>
      <c r="C388" s="121">
        <v>4945.0</v>
      </c>
      <c r="D388" s="157">
        <v>59300.0</v>
      </c>
      <c r="E388" s="157"/>
      <c r="F388" s="157"/>
    </row>
    <row r="389">
      <c r="B389" s="200">
        <v>2021.0</v>
      </c>
      <c r="C389" s="121">
        <v>5777.0</v>
      </c>
      <c r="D389" s="157">
        <v>62000.0</v>
      </c>
      <c r="E389" s="157"/>
      <c r="F389" s="157"/>
    </row>
    <row r="390">
      <c r="B390" s="200">
        <v>2031.0</v>
      </c>
      <c r="C390" s="121">
        <v>5752.0</v>
      </c>
      <c r="D390" s="121"/>
      <c r="E390" s="121"/>
      <c r="F390" s="121"/>
    </row>
    <row r="392">
      <c r="A392" s="20" t="s">
        <v>149</v>
      </c>
      <c r="B392" s="200">
        <v>2011.0</v>
      </c>
      <c r="C392" s="121">
        <v>3794.0</v>
      </c>
      <c r="D392" s="157">
        <v>8073.0</v>
      </c>
    </row>
    <row r="393">
      <c r="B393" s="200">
        <v>2014.0</v>
      </c>
      <c r="C393" s="121">
        <v>3860.0</v>
      </c>
      <c r="D393" s="157">
        <v>17222.0</v>
      </c>
    </row>
    <row r="394">
      <c r="B394" s="200">
        <v>2017.0</v>
      </c>
      <c r="C394" s="121">
        <v>3619.0</v>
      </c>
      <c r="D394" s="157">
        <v>29600.0</v>
      </c>
    </row>
    <row r="395">
      <c r="B395" s="200">
        <v>2021.0</v>
      </c>
      <c r="C395" s="121">
        <v>3927.0</v>
      </c>
      <c r="D395" s="157">
        <v>50180.0</v>
      </c>
    </row>
    <row r="396">
      <c r="B396" s="200">
        <v>2031.0</v>
      </c>
      <c r="C396" s="121">
        <v>3926.0</v>
      </c>
    </row>
    <row r="398">
      <c r="A398" s="20" t="s">
        <v>170</v>
      </c>
      <c r="B398" s="200">
        <v>2011.0</v>
      </c>
      <c r="C398" s="121">
        <v>6095.0</v>
      </c>
      <c r="D398" s="157">
        <v>10764.0</v>
      </c>
      <c r="E398" s="157"/>
      <c r="F398" s="157"/>
    </row>
    <row r="399">
      <c r="B399" s="200">
        <v>2014.0</v>
      </c>
      <c r="C399" s="121">
        <v>5624.0</v>
      </c>
      <c r="D399" s="157">
        <v>21528.0</v>
      </c>
      <c r="E399" s="157"/>
      <c r="F399" s="157"/>
    </row>
    <row r="400">
      <c r="B400" s="200">
        <v>2017.0</v>
      </c>
      <c r="C400" s="121">
        <v>6253.0</v>
      </c>
      <c r="D400" s="157">
        <v>26000.0</v>
      </c>
      <c r="E400" s="157"/>
      <c r="F400" s="157"/>
    </row>
    <row r="401">
      <c r="B401" s="200">
        <v>2021.0</v>
      </c>
      <c r="C401" s="121">
        <v>7301.0</v>
      </c>
      <c r="D401" s="157">
        <v>28900.0</v>
      </c>
      <c r="E401" s="157"/>
      <c r="F401" s="157"/>
    </row>
    <row r="402">
      <c r="B402" s="200">
        <v>2031.0</v>
      </c>
      <c r="C402" s="121">
        <v>7343.0</v>
      </c>
      <c r="D402" s="157"/>
      <c r="E402" s="157"/>
      <c r="F402" s="157"/>
    </row>
    <row r="403">
      <c r="D403" s="157"/>
      <c r="E403" s="157"/>
      <c r="F403" s="157"/>
    </row>
    <row r="405">
      <c r="A405" s="60" t="s">
        <v>189</v>
      </c>
      <c r="B405" s="200">
        <v>2011.0</v>
      </c>
      <c r="C405" s="121">
        <v>1561.0</v>
      </c>
      <c r="D405" s="157">
        <v>12916.0</v>
      </c>
    </row>
    <row r="406">
      <c r="B406" s="200">
        <v>2014.0</v>
      </c>
      <c r="C406" s="121">
        <v>1563.0</v>
      </c>
      <c r="D406" s="157">
        <v>23640.0</v>
      </c>
    </row>
    <row r="407">
      <c r="B407" s="200">
        <v>2017.0</v>
      </c>
      <c r="C407" s="121">
        <v>1562.0</v>
      </c>
      <c r="D407" s="157">
        <v>35600.0</v>
      </c>
    </row>
    <row r="408">
      <c r="B408" s="200">
        <v>2021.0</v>
      </c>
      <c r="C408" s="121">
        <v>1570.0</v>
      </c>
      <c r="D408" s="157">
        <v>44800.0</v>
      </c>
    </row>
    <row r="409">
      <c r="B409" s="200">
        <v>2031.0</v>
      </c>
      <c r="C409" s="121">
        <v>1559.0</v>
      </c>
    </row>
    <row r="411">
      <c r="A411" s="60" t="s">
        <v>275</v>
      </c>
      <c r="B411" s="200">
        <v>2011.0</v>
      </c>
      <c r="C411" s="121">
        <v>3175.0</v>
      </c>
      <c r="D411" s="157">
        <v>42985.0</v>
      </c>
    </row>
    <row r="412">
      <c r="B412" s="200">
        <v>2014.0</v>
      </c>
      <c r="C412" s="121">
        <v>2976.0</v>
      </c>
      <c r="D412" s="157">
        <v>92656.0</v>
      </c>
    </row>
    <row r="413">
      <c r="B413" s="200">
        <v>2017.0</v>
      </c>
      <c r="C413" s="122">
        <v>2940.0</v>
      </c>
      <c r="D413" s="86">
        <v>98000.0</v>
      </c>
    </row>
    <row r="414">
      <c r="B414" s="200">
        <v>2021.0</v>
      </c>
      <c r="C414" s="122">
        <v>3210.0</v>
      </c>
      <c r="D414" s="157">
        <v>120000.0</v>
      </c>
    </row>
    <row r="415">
      <c r="B415" s="200">
        <v>2031.0</v>
      </c>
      <c r="C415" s="122">
        <v>3226.0</v>
      </c>
    </row>
    <row r="417">
      <c r="A417" s="20" t="s">
        <v>236</v>
      </c>
      <c r="B417" s="200">
        <v>2011.0</v>
      </c>
      <c r="C417" s="202">
        <v>2879.0</v>
      </c>
      <c r="D417" s="157">
        <v>8073.0</v>
      </c>
      <c r="E417" s="163"/>
      <c r="F417" s="163"/>
    </row>
    <row r="418">
      <c r="B418" s="200">
        <v>2014.0</v>
      </c>
      <c r="C418" s="163">
        <v>2786.0</v>
      </c>
      <c r="D418" s="157">
        <v>11840.0</v>
      </c>
    </row>
    <row r="419">
      <c r="B419" s="200">
        <v>2017.0</v>
      </c>
      <c r="C419" s="163">
        <v>2827.0</v>
      </c>
      <c r="D419" s="157">
        <v>24800.0</v>
      </c>
    </row>
    <row r="420">
      <c r="B420" s="200">
        <v>2021.0</v>
      </c>
      <c r="C420" s="163">
        <v>2880.0</v>
      </c>
      <c r="D420" s="157">
        <v>30850.0</v>
      </c>
    </row>
    <row r="421">
      <c r="B421" s="200">
        <v>2031.0</v>
      </c>
      <c r="C421" s="163">
        <v>2887.0</v>
      </c>
    </row>
    <row r="423">
      <c r="A423" s="20" t="s">
        <v>137</v>
      </c>
      <c r="B423" s="200">
        <v>2011.0</v>
      </c>
      <c r="C423" s="81">
        <v>4078.0</v>
      </c>
      <c r="D423" s="157">
        <v>32292.0</v>
      </c>
      <c r="E423" s="86"/>
      <c r="F423" s="86"/>
    </row>
    <row r="424">
      <c r="B424" s="200">
        <v>2014.0</v>
      </c>
      <c r="C424" s="86">
        <v>4063.0</v>
      </c>
      <c r="D424" s="157">
        <v>60580.0</v>
      </c>
    </row>
    <row r="425">
      <c r="B425" s="200">
        <v>2017.0</v>
      </c>
      <c r="C425" s="86">
        <v>3977.0</v>
      </c>
      <c r="D425" s="157">
        <v>61400.0</v>
      </c>
    </row>
    <row r="426">
      <c r="B426" s="200">
        <v>2021.0</v>
      </c>
      <c r="C426" s="86">
        <v>4076.0</v>
      </c>
      <c r="D426" s="157">
        <v>72400.0</v>
      </c>
    </row>
    <row r="427">
      <c r="B427" s="200">
        <v>2031.0</v>
      </c>
      <c r="C427" s="86">
        <v>4085.0</v>
      </c>
    </row>
    <row r="429">
      <c r="A429" s="20" t="s">
        <v>97</v>
      </c>
      <c r="B429" s="200">
        <v>2011.0</v>
      </c>
      <c r="C429" s="203">
        <v>5416.0</v>
      </c>
      <c r="D429" s="157">
        <v>32292.0</v>
      </c>
    </row>
    <row r="430">
      <c r="B430" s="200">
        <v>2014.0</v>
      </c>
      <c r="C430" s="203">
        <v>4885.0</v>
      </c>
      <c r="D430" s="86">
        <v>107640.0</v>
      </c>
    </row>
    <row r="431">
      <c r="B431" s="200">
        <v>2017.0</v>
      </c>
      <c r="C431" s="203">
        <v>4617.0</v>
      </c>
      <c r="D431" s="86">
        <v>118400.0</v>
      </c>
    </row>
    <row r="432">
      <c r="B432" s="200">
        <v>2021.0</v>
      </c>
      <c r="C432" s="203">
        <v>5282.0</v>
      </c>
      <c r="D432" s="86">
        <v>119000.0</v>
      </c>
    </row>
    <row r="433">
      <c r="B433" s="200">
        <v>2031.0</v>
      </c>
      <c r="C433" s="203">
        <v>5441.0</v>
      </c>
    </row>
    <row r="435">
      <c r="A435" s="20" t="s">
        <v>322</v>
      </c>
      <c r="B435" s="200">
        <v>2011.0</v>
      </c>
      <c r="C435" s="204">
        <v>8288.0</v>
      </c>
      <c r="D435" s="159">
        <v>18299.0</v>
      </c>
      <c r="E435" s="86"/>
      <c r="F435" s="86"/>
    </row>
    <row r="436">
      <c r="B436" s="200">
        <v>2014.0</v>
      </c>
      <c r="C436" s="86">
        <v>8104.0</v>
      </c>
      <c r="D436" s="86">
        <v>23700.0</v>
      </c>
    </row>
    <row r="437">
      <c r="B437" s="200">
        <v>2017.0</v>
      </c>
      <c r="C437" s="86">
        <v>7532.0</v>
      </c>
      <c r="D437" s="157">
        <v>32600.0</v>
      </c>
    </row>
    <row r="438">
      <c r="B438" s="200">
        <v>2021.0</v>
      </c>
      <c r="C438" s="86">
        <v>8348.0</v>
      </c>
      <c r="D438" s="157">
        <v>44600.0</v>
      </c>
    </row>
    <row r="439">
      <c r="B439" s="200">
        <v>2031.0</v>
      </c>
      <c r="C439" s="86">
        <v>8334.0</v>
      </c>
    </row>
    <row r="441">
      <c r="A441" s="60" t="s">
        <v>174</v>
      </c>
      <c r="B441" s="200">
        <v>2011.0</v>
      </c>
      <c r="C441" s="121">
        <v>3056.0</v>
      </c>
      <c r="D441" s="157">
        <v>12917.0</v>
      </c>
    </row>
    <row r="442">
      <c r="B442" s="200">
        <v>2014.0</v>
      </c>
      <c r="C442" s="122">
        <v>3074.0</v>
      </c>
      <c r="D442" s="86">
        <v>42985.0</v>
      </c>
    </row>
    <row r="443">
      <c r="B443" s="200">
        <v>2017.0</v>
      </c>
      <c r="C443" s="121">
        <v>2943.0</v>
      </c>
      <c r="D443" s="157">
        <v>64700.0</v>
      </c>
    </row>
    <row r="444">
      <c r="B444" s="200">
        <v>2021.0</v>
      </c>
      <c r="C444" s="121">
        <v>3024.0</v>
      </c>
      <c r="D444" s="157">
        <v>78200.0</v>
      </c>
    </row>
    <row r="445">
      <c r="B445" s="200">
        <v>2031.0</v>
      </c>
      <c r="C445" s="121">
        <v>3029.0</v>
      </c>
    </row>
    <row r="447">
      <c r="A447" s="60" t="s">
        <v>282</v>
      </c>
      <c r="B447" s="200">
        <v>2011.0</v>
      </c>
      <c r="C447" s="121">
        <v>3454.0</v>
      </c>
      <c r="D447" s="157">
        <v>13993.0</v>
      </c>
    </row>
    <row r="448">
      <c r="B448" s="200">
        <v>2014.0</v>
      </c>
      <c r="C448" s="122">
        <v>3429.0</v>
      </c>
      <c r="D448" s="86">
        <v>42985.0</v>
      </c>
    </row>
    <row r="449">
      <c r="B449" s="200">
        <v>2017.0</v>
      </c>
      <c r="C449" s="121">
        <v>3377.0</v>
      </c>
      <c r="D449" s="157">
        <v>68700.0</v>
      </c>
    </row>
    <row r="450">
      <c r="B450" s="200">
        <v>2021.0</v>
      </c>
      <c r="C450" s="121">
        <v>3420.0</v>
      </c>
      <c r="D450" s="157">
        <v>77250.0</v>
      </c>
    </row>
    <row r="451">
      <c r="B451" s="200">
        <v>2031.0</v>
      </c>
      <c r="C451" s="121">
        <v>3460.0</v>
      </c>
    </row>
    <row r="453">
      <c r="A453" s="20" t="s">
        <v>142</v>
      </c>
      <c r="B453" s="200">
        <v>2011.0</v>
      </c>
      <c r="C453" s="121">
        <v>3859.0</v>
      </c>
      <c r="D453" s="157">
        <v>32292.0</v>
      </c>
    </row>
    <row r="454">
      <c r="B454" s="200">
        <v>2014.0</v>
      </c>
      <c r="C454" s="121">
        <v>3731.0</v>
      </c>
      <c r="D454" s="157">
        <v>32292.0</v>
      </c>
    </row>
    <row r="455">
      <c r="B455" s="200">
        <v>2017.0</v>
      </c>
      <c r="C455" s="121">
        <v>3754.0</v>
      </c>
      <c r="D455" s="157">
        <v>38900.0</v>
      </c>
    </row>
    <row r="456">
      <c r="B456" s="200">
        <v>2021.0</v>
      </c>
      <c r="C456" s="121">
        <v>3748.0</v>
      </c>
      <c r="D456" s="157">
        <v>54350.0</v>
      </c>
    </row>
    <row r="457">
      <c r="B457" s="200">
        <v>2031.0</v>
      </c>
      <c r="C457" s="121">
        <v>3840.0</v>
      </c>
    </row>
    <row r="459">
      <c r="A459" s="60" t="s">
        <v>177</v>
      </c>
      <c r="B459" s="200">
        <v>2011.0</v>
      </c>
      <c r="C459" s="138">
        <v>4274.0</v>
      </c>
      <c r="D459" s="159">
        <v>13993.0</v>
      </c>
    </row>
    <row r="460">
      <c r="B460" s="200">
        <v>2014.0</v>
      </c>
      <c r="C460" s="121">
        <v>4233.0</v>
      </c>
      <c r="D460" s="157">
        <v>32922.0</v>
      </c>
    </row>
    <row r="461">
      <c r="B461" s="200">
        <v>2017.0</v>
      </c>
      <c r="C461" s="121">
        <v>4245.0</v>
      </c>
      <c r="D461" s="157">
        <v>35600.0</v>
      </c>
    </row>
    <row r="462">
      <c r="B462" s="200">
        <v>2021.0</v>
      </c>
      <c r="C462" s="121">
        <v>4322.0</v>
      </c>
      <c r="D462" s="157">
        <v>45000.0</v>
      </c>
    </row>
    <row r="463">
      <c r="B463" s="200">
        <v>2031.0</v>
      </c>
      <c r="C463" s="121">
        <v>4363.0</v>
      </c>
    </row>
    <row r="465">
      <c r="A465" s="20" t="s">
        <v>238</v>
      </c>
      <c r="B465" s="200">
        <v>2011.0</v>
      </c>
      <c r="C465" s="121">
        <v>2090.0</v>
      </c>
      <c r="D465" s="157">
        <v>8073.0</v>
      </c>
    </row>
    <row r="466">
      <c r="B466" s="200">
        <v>2014.0</v>
      </c>
      <c r="C466" s="121">
        <v>2117.0</v>
      </c>
      <c r="D466" s="157">
        <v>11800.0</v>
      </c>
    </row>
    <row r="467">
      <c r="B467" s="200">
        <v>2017.0</v>
      </c>
      <c r="C467" s="121">
        <v>2058.0</v>
      </c>
      <c r="D467" s="157">
        <v>27200.0</v>
      </c>
    </row>
    <row r="468">
      <c r="B468" s="200">
        <v>2021.0</v>
      </c>
      <c r="C468" s="121">
        <v>2131.0</v>
      </c>
      <c r="D468" s="157">
        <v>36750.0</v>
      </c>
    </row>
    <row r="469">
      <c r="B469" s="200">
        <v>2031.0</v>
      </c>
      <c r="C469" s="121">
        <v>2131.0</v>
      </c>
    </row>
    <row r="471">
      <c r="A471" s="20" t="s">
        <v>139</v>
      </c>
      <c r="B471" s="200">
        <v>2011.0</v>
      </c>
      <c r="C471" s="121">
        <v>7420.0</v>
      </c>
      <c r="D471" s="157">
        <v>32292.0</v>
      </c>
    </row>
    <row r="472">
      <c r="B472" s="200">
        <v>2014.0</v>
      </c>
      <c r="C472" s="122">
        <v>7219.0</v>
      </c>
      <c r="D472" s="86">
        <v>42985.0</v>
      </c>
    </row>
    <row r="473">
      <c r="B473" s="200">
        <v>2017.0</v>
      </c>
      <c r="C473" s="121">
        <v>6727.0</v>
      </c>
      <c r="D473" s="157">
        <v>48500.0</v>
      </c>
    </row>
    <row r="474">
      <c r="B474" s="200">
        <v>2021.0</v>
      </c>
      <c r="C474" s="121">
        <v>7413.0</v>
      </c>
      <c r="D474" s="157">
        <v>75000.0</v>
      </c>
    </row>
    <row r="475">
      <c r="B475" s="200">
        <v>2031.0</v>
      </c>
      <c r="C475" s="121">
        <v>7419.0</v>
      </c>
    </row>
    <row r="477">
      <c r="A477" s="20" t="s">
        <v>135</v>
      </c>
      <c r="B477" s="200">
        <v>2011.0</v>
      </c>
      <c r="C477" s="121">
        <v>5723.0</v>
      </c>
      <c r="D477" s="157">
        <v>18299.0</v>
      </c>
    </row>
    <row r="478">
      <c r="B478" s="200">
        <v>2014.0</v>
      </c>
      <c r="C478" s="122">
        <v>5515.0</v>
      </c>
      <c r="D478" s="86">
        <v>23700.0</v>
      </c>
    </row>
    <row r="479">
      <c r="B479" s="200">
        <v>2017.0</v>
      </c>
      <c r="C479" s="121">
        <v>5186.0</v>
      </c>
      <c r="D479" s="157">
        <v>39300.0</v>
      </c>
    </row>
    <row r="480">
      <c r="B480" s="200">
        <v>2021.0</v>
      </c>
      <c r="C480" s="121">
        <v>5816.0</v>
      </c>
      <c r="D480" s="157">
        <v>52500.0</v>
      </c>
    </row>
    <row r="481">
      <c r="B481" s="200">
        <v>2031.0</v>
      </c>
      <c r="C481" s="121">
        <v>5817.0</v>
      </c>
    </row>
    <row r="483">
      <c r="A483" s="60" t="s">
        <v>259</v>
      </c>
      <c r="B483" s="200">
        <v>2011.0</v>
      </c>
      <c r="C483" s="121">
        <v>2300.0</v>
      </c>
      <c r="D483" s="157">
        <v>21530.0</v>
      </c>
    </row>
    <row r="484">
      <c r="B484" s="200">
        <v>2014.0</v>
      </c>
      <c r="C484" s="121">
        <v>2246.0</v>
      </c>
      <c r="D484" s="157">
        <v>29840.0</v>
      </c>
    </row>
    <row r="485">
      <c r="B485" s="200">
        <v>2017.0</v>
      </c>
      <c r="C485" s="121">
        <v>2234.0</v>
      </c>
      <c r="D485" s="157">
        <v>37700.0</v>
      </c>
    </row>
    <row r="486">
      <c r="B486" s="200">
        <v>2021.0</v>
      </c>
      <c r="C486" s="121">
        <v>2271.0</v>
      </c>
      <c r="D486" s="157">
        <v>74800.0</v>
      </c>
    </row>
    <row r="487">
      <c r="B487" s="200">
        <v>2031.0</v>
      </c>
      <c r="C487" s="121">
        <v>2301.0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0"/>
    <col customWidth="1" min="3" max="3" width="26.75"/>
    <col customWidth="1" min="4" max="4" width="11.88"/>
    <col customWidth="1" min="5" max="5" width="12.75"/>
    <col customWidth="1" min="6" max="6" width="10.88"/>
    <col customWidth="1" min="7" max="7" width="9.75"/>
    <col customWidth="1" min="8" max="8" width="21.63"/>
    <col customWidth="1" hidden="1" min="9" max="10" width="21.63"/>
    <col hidden="1" min="11" max="15" width="12.63"/>
  </cols>
  <sheetData>
    <row r="1">
      <c r="A1" s="1"/>
      <c r="B1" s="1" t="s">
        <v>404</v>
      </c>
      <c r="H1" s="2"/>
      <c r="I1" s="2"/>
      <c r="J1" s="2"/>
      <c r="K1" s="3"/>
      <c r="L1" s="2"/>
      <c r="M1" s="2"/>
      <c r="N1" s="2"/>
      <c r="O1" s="2"/>
      <c r="P1" s="3"/>
      <c r="Q1" s="3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>
      <c r="A2" s="1"/>
      <c r="H2" s="2"/>
      <c r="I2" s="2"/>
      <c r="J2" s="2"/>
      <c r="K2" s="3"/>
      <c r="L2" s="2"/>
      <c r="M2" s="2"/>
      <c r="N2" s="2"/>
      <c r="O2" s="2"/>
      <c r="P2" s="3"/>
      <c r="Q2" s="3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>
      <c r="A3" s="192"/>
      <c r="B3" s="115" t="s">
        <v>389</v>
      </c>
      <c r="C3" s="115" t="s">
        <v>390</v>
      </c>
      <c r="D3" s="116" t="s">
        <v>5</v>
      </c>
      <c r="E3" s="117"/>
      <c r="F3" s="117"/>
      <c r="G3" s="118"/>
      <c r="H3" s="2"/>
      <c r="I3" s="2"/>
      <c r="J3" s="2" t="s">
        <v>6</v>
      </c>
      <c r="K3" s="3"/>
      <c r="L3" s="2" t="s">
        <v>7</v>
      </c>
      <c r="P3" s="3"/>
      <c r="Q3" s="3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>
      <c r="A4" s="192"/>
      <c r="B4" s="47"/>
      <c r="C4" s="47"/>
      <c r="D4" s="119">
        <v>2011.0</v>
      </c>
      <c r="E4" s="119">
        <v>2014.0</v>
      </c>
      <c r="F4" s="119">
        <v>2017.0</v>
      </c>
      <c r="G4" s="119">
        <v>2021.0</v>
      </c>
      <c r="H4" s="8"/>
      <c r="I4" s="8"/>
      <c r="J4" s="8"/>
      <c r="K4" s="9" t="s">
        <v>8</v>
      </c>
      <c r="L4" s="9" t="s">
        <v>9</v>
      </c>
      <c r="M4" s="9" t="s">
        <v>10</v>
      </c>
      <c r="N4" s="9" t="s">
        <v>11</v>
      </c>
      <c r="O4" s="9">
        <v>2018.0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r="5">
      <c r="A5" s="192"/>
      <c r="B5" s="50"/>
      <c r="C5" s="50"/>
      <c r="D5" s="50"/>
      <c r="E5" s="50"/>
      <c r="F5" s="50"/>
      <c r="G5" s="50"/>
      <c r="H5" s="14"/>
      <c r="I5" s="14"/>
      <c r="J5" s="15"/>
      <c r="K5" s="16"/>
      <c r="L5" s="15"/>
      <c r="M5" s="15"/>
      <c r="N5" s="15"/>
      <c r="O5" s="15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>
      <c r="A6" s="193"/>
      <c r="B6" s="194" t="s">
        <v>406</v>
      </c>
      <c r="C6" s="18" t="s">
        <v>382</v>
      </c>
      <c r="D6" s="162">
        <v>6440.0</v>
      </c>
      <c r="E6" s="166">
        <v>8025.0</v>
      </c>
      <c r="F6" s="166">
        <v>7200.0</v>
      </c>
      <c r="G6" s="162">
        <v>9613.0</v>
      </c>
      <c r="H6" s="14"/>
      <c r="I6" s="14"/>
      <c r="J6" s="15" t="s">
        <v>19</v>
      </c>
      <c r="K6" s="16"/>
      <c r="L6" s="15">
        <v>77501.0</v>
      </c>
      <c r="M6" s="15">
        <v>85500.0</v>
      </c>
      <c r="N6" s="15">
        <v>85500.0</v>
      </c>
      <c r="O6" s="15">
        <v>112000.0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  <row r="7">
      <c r="A7" s="193"/>
      <c r="B7" s="47"/>
      <c r="C7" s="28" t="s">
        <v>378</v>
      </c>
      <c r="D7" s="20">
        <v>4200.0</v>
      </c>
      <c r="E7" s="20">
        <v>7460.0</v>
      </c>
      <c r="F7" s="166">
        <v>8900.0</v>
      </c>
      <c r="G7" s="166">
        <v>12876.0</v>
      </c>
      <c r="H7" s="14"/>
      <c r="J7" s="15" t="s">
        <v>22</v>
      </c>
      <c r="K7" s="16"/>
      <c r="L7" s="15">
        <v>21500.0</v>
      </c>
      <c r="M7" s="15">
        <v>26910.0</v>
      </c>
      <c r="N7" s="15">
        <v>32300.0</v>
      </c>
      <c r="O7" s="15">
        <v>35600.0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r="8">
      <c r="A8" s="193"/>
      <c r="B8" s="47"/>
      <c r="C8" s="28" t="s">
        <v>374</v>
      </c>
      <c r="D8" s="20">
        <v>4742.0</v>
      </c>
      <c r="E8" s="20">
        <v>6864.0</v>
      </c>
      <c r="F8" s="20">
        <v>7775.0</v>
      </c>
      <c r="G8" s="20">
        <v>11446.0</v>
      </c>
      <c r="H8" s="14"/>
      <c r="J8" s="15" t="s">
        <v>23</v>
      </c>
      <c r="K8" s="16"/>
      <c r="L8" s="15">
        <v>19400.0</v>
      </c>
      <c r="M8" s="15">
        <v>27000.0</v>
      </c>
      <c r="N8" s="15">
        <v>28000.0</v>
      </c>
      <c r="O8" s="15">
        <v>30000.0</v>
      </c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>
      <c r="A9" s="193"/>
      <c r="B9" s="47"/>
      <c r="C9" s="28" t="s">
        <v>381</v>
      </c>
      <c r="D9" s="166">
        <v>2327.0</v>
      </c>
      <c r="E9" s="166">
        <v>3400.0</v>
      </c>
      <c r="F9" s="20">
        <v>6600.0</v>
      </c>
      <c r="G9" s="20">
        <v>7260.0</v>
      </c>
      <c r="H9" s="14"/>
      <c r="J9" s="15" t="s">
        <v>26</v>
      </c>
      <c r="K9" s="16"/>
      <c r="L9" s="15">
        <v>45209.0</v>
      </c>
      <c r="M9" s="15">
        <v>49713.0</v>
      </c>
      <c r="N9" s="15">
        <v>49713.0</v>
      </c>
      <c r="O9" s="15">
        <v>54700.0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10">
      <c r="A10" s="193"/>
      <c r="B10" s="50"/>
      <c r="C10" s="28" t="s">
        <v>376</v>
      </c>
      <c r="D10" s="166">
        <v>6000.0</v>
      </c>
      <c r="E10" s="166">
        <v>8574.0</v>
      </c>
      <c r="F10" s="166">
        <v>8400.0</v>
      </c>
      <c r="G10" s="166">
        <v>16034.0</v>
      </c>
      <c r="H10" s="14"/>
      <c r="J10" s="15" t="s">
        <v>28</v>
      </c>
      <c r="K10" s="16"/>
      <c r="L10" s="15">
        <v>23700.0</v>
      </c>
      <c r="M10" s="15">
        <v>26070.0</v>
      </c>
      <c r="N10" s="15">
        <v>26100.0</v>
      </c>
      <c r="O10" s="15">
        <v>29000.0</v>
      </c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</row>
    <row r="11">
      <c r="A11" s="195"/>
      <c r="B11" s="196"/>
      <c r="C11" s="108"/>
      <c r="D11" s="197"/>
      <c r="E11" s="197"/>
      <c r="F11" s="197"/>
      <c r="G11" s="197"/>
      <c r="H11" s="14"/>
      <c r="I11" s="14"/>
      <c r="J11" s="15" t="s">
        <v>39</v>
      </c>
      <c r="K11" s="16"/>
      <c r="L11" s="15">
        <v>153900.0</v>
      </c>
      <c r="M11" s="15">
        <v>163900.0</v>
      </c>
      <c r="N11" s="15">
        <v>163900.0</v>
      </c>
      <c r="O11" s="15">
        <v>203200.0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</row>
    <row r="12">
      <c r="A12" s="193"/>
      <c r="B12" s="194" t="s">
        <v>407</v>
      </c>
      <c r="C12" s="28" t="s">
        <v>380</v>
      </c>
      <c r="D12" s="166">
        <v>3000.0</v>
      </c>
      <c r="E12" s="166">
        <v>5400.0</v>
      </c>
      <c r="F12" s="166">
        <v>8300.0</v>
      </c>
      <c r="G12" s="166">
        <v>11900.0</v>
      </c>
      <c r="H12" s="14"/>
      <c r="J12" s="15" t="s">
        <v>43</v>
      </c>
      <c r="K12" s="16"/>
      <c r="L12" s="15">
        <v>94700.0</v>
      </c>
      <c r="M12" s="15">
        <v>106100.0</v>
      </c>
      <c r="N12" s="15">
        <v>106100.0</v>
      </c>
      <c r="O12" s="15">
        <v>127300.0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</row>
    <row r="13">
      <c r="A13" s="193"/>
      <c r="B13" s="47"/>
      <c r="C13" s="28" t="s">
        <v>373</v>
      </c>
      <c r="D13" s="166">
        <v>2350.0</v>
      </c>
      <c r="E13" s="166">
        <v>5400.0</v>
      </c>
      <c r="F13" s="166">
        <v>15400.0</v>
      </c>
      <c r="G13" s="166">
        <v>19000.0</v>
      </c>
      <c r="H13" s="14"/>
      <c r="J13" s="15" t="s">
        <v>45</v>
      </c>
      <c r="K13" s="16"/>
      <c r="L13" s="15">
        <v>23700.0</v>
      </c>
      <c r="M13" s="15">
        <v>26100.0</v>
      </c>
      <c r="N13" s="15">
        <v>26100.0</v>
      </c>
      <c r="O13" s="15">
        <v>40000.0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>
      <c r="A14" s="193"/>
      <c r="B14" s="47"/>
      <c r="C14" s="28" t="s">
        <v>374</v>
      </c>
      <c r="D14" s="166">
        <v>3117.0</v>
      </c>
      <c r="E14" s="166">
        <v>5400.0</v>
      </c>
      <c r="F14" s="166">
        <v>10670.0</v>
      </c>
      <c r="G14" s="166">
        <v>14500.0</v>
      </c>
      <c r="H14" s="14"/>
      <c r="J14" s="15" t="s">
        <v>47</v>
      </c>
      <c r="K14" s="16"/>
      <c r="L14" s="15">
        <v>28000.0</v>
      </c>
      <c r="M14" s="15">
        <v>32100.0</v>
      </c>
      <c r="N14" s="15">
        <v>32100.0</v>
      </c>
      <c r="O14" s="15">
        <v>40000.0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>
      <c r="A15" s="193"/>
      <c r="B15" s="50"/>
      <c r="C15" s="28" t="s">
        <v>377</v>
      </c>
      <c r="D15" s="166">
        <v>4000.0</v>
      </c>
      <c r="E15" s="20">
        <v>5500.0</v>
      </c>
      <c r="F15" s="20">
        <v>8300.0</v>
      </c>
      <c r="G15" s="20">
        <v>12670.0</v>
      </c>
      <c r="H15" s="14"/>
      <c r="J15" s="26" t="s">
        <v>40</v>
      </c>
      <c r="K15" s="27"/>
      <c r="L15" s="26">
        <v>32300.0</v>
      </c>
      <c r="M15" s="26">
        <v>35500.0</v>
      </c>
      <c r="N15" s="26">
        <v>35500.0</v>
      </c>
      <c r="O15" s="26">
        <v>40800.0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</row>
    <row r="16">
      <c r="A16" s="195"/>
      <c r="B16" s="196"/>
      <c r="C16" s="108"/>
      <c r="D16" s="197"/>
      <c r="E16" s="197"/>
      <c r="F16" s="197"/>
      <c r="G16" s="197"/>
      <c r="H16" s="14"/>
      <c r="I16" s="14" t="s">
        <v>73</v>
      </c>
      <c r="J16" s="15" t="s">
        <v>74</v>
      </c>
      <c r="K16" s="16"/>
      <c r="L16" s="15">
        <v>42000.0</v>
      </c>
      <c r="M16" s="15">
        <v>49700.0</v>
      </c>
      <c r="N16" s="15">
        <v>49700.0</v>
      </c>
      <c r="O16" s="15">
        <v>63000.0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>
      <c r="A17" s="193"/>
      <c r="B17" s="194" t="s">
        <v>408</v>
      </c>
      <c r="C17" s="28" t="s">
        <v>388</v>
      </c>
      <c r="D17" s="166">
        <v>970.0</v>
      </c>
      <c r="E17" s="166">
        <v>2000.0</v>
      </c>
      <c r="F17" s="166">
        <v>2400.0</v>
      </c>
      <c r="G17" s="166">
        <v>2400.0</v>
      </c>
      <c r="H17" s="14"/>
      <c r="J17" s="15" t="s">
        <v>77</v>
      </c>
      <c r="K17" s="16"/>
      <c r="L17" s="15">
        <v>99000.0</v>
      </c>
      <c r="M17" s="15">
        <v>108700.0</v>
      </c>
      <c r="N17" s="15">
        <v>108700.0</v>
      </c>
      <c r="O17" s="15">
        <v>125000.0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</row>
    <row r="18">
      <c r="A18" s="193"/>
      <c r="B18" s="47"/>
      <c r="C18" s="28" t="s">
        <v>385</v>
      </c>
      <c r="D18" s="166">
        <v>1500.0</v>
      </c>
      <c r="E18" s="166">
        <v>3000.0</v>
      </c>
      <c r="F18" s="166">
        <v>5400.0</v>
      </c>
      <c r="G18" s="166">
        <v>3300.0</v>
      </c>
      <c r="H18" s="14"/>
      <c r="J18" s="26" t="s">
        <v>79</v>
      </c>
      <c r="K18" s="27"/>
      <c r="L18" s="26">
        <v>5400.0</v>
      </c>
      <c r="M18" s="26">
        <v>6000.0</v>
      </c>
      <c r="N18" s="26">
        <v>6000.0</v>
      </c>
      <c r="O18" s="26">
        <v>6600.0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</row>
    <row r="19">
      <c r="A19" s="193"/>
      <c r="B19" s="47"/>
      <c r="C19" s="28" t="s">
        <v>374</v>
      </c>
      <c r="D19" s="166">
        <v>2000.0</v>
      </c>
      <c r="E19" s="166">
        <v>2560.0</v>
      </c>
      <c r="F19" s="166">
        <v>3450.0</v>
      </c>
      <c r="G19" s="166">
        <v>3075.0</v>
      </c>
      <c r="H19" s="14"/>
      <c r="J19" s="15" t="s">
        <v>82</v>
      </c>
      <c r="K19" s="15">
        <v>4037.0</v>
      </c>
      <c r="L19" s="15">
        <v>8073.0</v>
      </c>
      <c r="M19" s="15">
        <v>11900.0</v>
      </c>
      <c r="N19" s="15">
        <v>11900.0</v>
      </c>
      <c r="O19" s="15">
        <v>13400.0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</row>
    <row r="20">
      <c r="A20" s="193"/>
      <c r="B20" s="47"/>
      <c r="C20" s="18" t="s">
        <v>386</v>
      </c>
      <c r="D20" s="166">
        <v>2224.0</v>
      </c>
      <c r="E20" s="166">
        <v>2560.0</v>
      </c>
      <c r="F20" s="166">
        <v>3000.0</v>
      </c>
      <c r="G20" s="166">
        <v>3300.0</v>
      </c>
      <c r="H20" s="14"/>
      <c r="J20" s="26" t="s">
        <v>84</v>
      </c>
      <c r="K20" s="27"/>
      <c r="L20" s="26">
        <v>11840.0</v>
      </c>
      <c r="M20" s="26">
        <v>16600.0</v>
      </c>
      <c r="N20" s="26">
        <v>16600.0</v>
      </c>
      <c r="O20" s="26">
        <v>18200.0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</row>
    <row r="21">
      <c r="A21" s="193"/>
      <c r="B21" s="50"/>
      <c r="C21" s="28" t="s">
        <v>387</v>
      </c>
      <c r="D21" s="166">
        <v>2400.0</v>
      </c>
      <c r="E21" s="166">
        <v>2687.0</v>
      </c>
      <c r="F21" s="166">
        <v>3000.0</v>
      </c>
      <c r="G21" s="166">
        <v>3300.0</v>
      </c>
      <c r="H21" s="14"/>
      <c r="J21" s="15" t="s">
        <v>88</v>
      </c>
      <c r="K21" s="16"/>
      <c r="L21" s="15">
        <v>88265.0</v>
      </c>
      <c r="M21" s="15">
        <v>98000.0</v>
      </c>
      <c r="N21" s="15">
        <v>98000.0</v>
      </c>
      <c r="O21" s="15">
        <v>98000.0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</row>
    <row r="22">
      <c r="A22" s="198"/>
      <c r="B22" s="199"/>
      <c r="C22" s="108"/>
      <c r="D22" s="197"/>
      <c r="E22" s="197"/>
      <c r="F22" s="197"/>
      <c r="G22" s="197"/>
      <c r="H22" s="14"/>
      <c r="I22" s="14" t="s">
        <v>92</v>
      </c>
      <c r="J22" s="15" t="s">
        <v>93</v>
      </c>
      <c r="K22" s="16"/>
      <c r="L22" s="15">
        <v>129975.0</v>
      </c>
      <c r="M22" s="15">
        <v>150700.0</v>
      </c>
      <c r="N22" s="15">
        <v>156100.0</v>
      </c>
      <c r="O22" s="15">
        <v>165800.0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</row>
    <row r="23">
      <c r="A23" s="193"/>
      <c r="B23" s="194" t="s">
        <v>409</v>
      </c>
      <c r="C23" s="28" t="s">
        <v>413</v>
      </c>
      <c r="D23" s="166">
        <v>9500.0</v>
      </c>
      <c r="E23" s="20">
        <v>9500.0</v>
      </c>
      <c r="F23" s="20">
        <v>11400.0</v>
      </c>
      <c r="G23" s="20">
        <v>15000.0</v>
      </c>
      <c r="H23" s="14"/>
      <c r="J23" s="15"/>
      <c r="K23" s="16"/>
      <c r="L23" s="15"/>
      <c r="M23" s="15"/>
      <c r="N23" s="15"/>
      <c r="O23" s="15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</row>
    <row r="24">
      <c r="A24" s="193"/>
      <c r="B24" s="47"/>
      <c r="C24" s="28" t="s">
        <v>379</v>
      </c>
      <c r="D24" s="166">
        <v>9500.0</v>
      </c>
      <c r="E24" s="20">
        <v>9500.0</v>
      </c>
      <c r="F24" s="20">
        <v>11400.0</v>
      </c>
      <c r="G24" s="20">
        <v>15000.0</v>
      </c>
      <c r="H24" s="14"/>
      <c r="J24" s="15" t="s">
        <v>95</v>
      </c>
      <c r="K24" s="16"/>
      <c r="L24" s="15">
        <v>91494.0</v>
      </c>
      <c r="M24" s="15">
        <v>106600.0</v>
      </c>
      <c r="N24" s="15">
        <v>106600.0</v>
      </c>
      <c r="O24" s="15">
        <v>161500.0</v>
      </c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</row>
    <row r="25">
      <c r="A25" s="193"/>
      <c r="B25" s="47"/>
      <c r="C25" s="28" t="s">
        <v>384</v>
      </c>
      <c r="D25" s="166">
        <v>5800.0</v>
      </c>
      <c r="E25" s="166">
        <v>6000.0</v>
      </c>
      <c r="F25" s="166">
        <v>7200.0</v>
      </c>
      <c r="G25" s="166">
        <v>7700.0</v>
      </c>
      <c r="H25" s="14"/>
      <c r="J25" s="15"/>
      <c r="K25" s="16"/>
      <c r="L25" s="15"/>
      <c r="M25" s="15"/>
      <c r="N25" s="15"/>
      <c r="O25" s="15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</row>
    <row r="26">
      <c r="A26" s="193"/>
      <c r="B26" s="47"/>
      <c r="C26" s="28" t="s">
        <v>383</v>
      </c>
      <c r="D26" s="166">
        <v>5800.0</v>
      </c>
      <c r="E26" s="166">
        <v>6000.0</v>
      </c>
      <c r="F26" s="166">
        <v>7200.0</v>
      </c>
      <c r="G26" s="166">
        <v>7700.0</v>
      </c>
      <c r="H26" s="14"/>
      <c r="J26" s="15" t="s">
        <v>97</v>
      </c>
      <c r="K26" s="16"/>
      <c r="L26" s="15">
        <v>107640.0</v>
      </c>
      <c r="M26" s="15">
        <v>118400.0</v>
      </c>
      <c r="N26" s="15">
        <v>118400.0</v>
      </c>
      <c r="O26" s="15">
        <v>119000.0</v>
      </c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</row>
    <row r="27">
      <c r="A27" s="193"/>
      <c r="B27" s="50"/>
      <c r="C27" s="28" t="s">
        <v>374</v>
      </c>
      <c r="D27" s="166">
        <v>7650.0</v>
      </c>
      <c r="E27" s="166">
        <v>7750.0</v>
      </c>
      <c r="F27" s="166">
        <v>9300.0</v>
      </c>
      <c r="G27" s="166">
        <v>11350.0</v>
      </c>
      <c r="H27" s="14"/>
      <c r="J27" s="15" t="s">
        <v>98</v>
      </c>
      <c r="K27" s="16"/>
      <c r="L27" s="15">
        <v>43056.0</v>
      </c>
      <c r="M27" s="15">
        <v>47400.0</v>
      </c>
      <c r="N27" s="15">
        <v>47400.0</v>
      </c>
      <c r="O27" s="15">
        <v>50000.0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</row>
    <row r="28">
      <c r="A28" s="8"/>
      <c r="B28" s="8"/>
      <c r="C28" s="8"/>
      <c r="D28" s="42"/>
      <c r="E28" s="42"/>
      <c r="F28" s="42"/>
      <c r="G28" s="42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</row>
    <row r="29">
      <c r="A29" s="8"/>
      <c r="B29" s="8"/>
      <c r="C29" s="8"/>
      <c r="D29" s="42"/>
      <c r="E29" s="42"/>
      <c r="F29" s="42"/>
      <c r="G29" s="42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</row>
    <row r="30">
      <c r="A30" s="8"/>
      <c r="B30" s="8"/>
      <c r="C30" s="8"/>
      <c r="D30" s="42"/>
      <c r="E30" s="42"/>
      <c r="F30" s="42"/>
      <c r="G30" s="42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</row>
    <row r="31">
      <c r="A31" s="8"/>
      <c r="B31" s="8"/>
      <c r="C31" s="8"/>
      <c r="D31" s="42"/>
      <c r="E31" s="42"/>
      <c r="F31" s="42"/>
      <c r="G31" s="42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</row>
    <row r="32">
      <c r="A32" s="8"/>
      <c r="B32" s="8"/>
      <c r="C32" s="8"/>
      <c r="D32" s="42"/>
      <c r="E32" s="42"/>
      <c r="F32" s="42"/>
      <c r="G32" s="42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</row>
    <row r="33">
      <c r="A33" s="8"/>
      <c r="B33" s="8"/>
      <c r="C33" s="8"/>
      <c r="D33" s="42"/>
      <c r="E33" s="42"/>
      <c r="F33" s="42"/>
      <c r="G33" s="42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</row>
    <row r="34">
      <c r="A34" s="8"/>
      <c r="B34" s="8"/>
      <c r="C34" s="8"/>
      <c r="D34" s="42"/>
      <c r="E34" s="42"/>
      <c r="F34" s="42"/>
      <c r="G34" s="42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</row>
    <row r="35">
      <c r="A35" s="8"/>
      <c r="B35" s="8"/>
      <c r="C35" s="8"/>
      <c r="D35" s="42"/>
      <c r="E35" s="42"/>
      <c r="F35" s="42"/>
      <c r="G35" s="42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</row>
    <row r="36">
      <c r="A36" s="8"/>
      <c r="B36" s="8"/>
      <c r="C36" s="8"/>
      <c r="D36" s="42"/>
      <c r="E36" s="42"/>
      <c r="F36" s="42"/>
      <c r="G36" s="42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</row>
    <row r="37">
      <c r="A37" s="8"/>
      <c r="B37" s="8"/>
      <c r="C37" s="8"/>
      <c r="D37" s="42"/>
      <c r="E37" s="42"/>
      <c r="F37" s="42"/>
      <c r="G37" s="42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</row>
    <row r="38">
      <c r="A38" s="8"/>
      <c r="B38" s="8"/>
      <c r="C38" s="8"/>
      <c r="D38" s="42"/>
      <c r="E38" s="42"/>
      <c r="F38" s="42"/>
      <c r="G38" s="42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</row>
    <row r="39">
      <c r="A39" s="8"/>
      <c r="B39" s="8"/>
      <c r="C39" s="8"/>
      <c r="D39" s="42"/>
      <c r="E39" s="42"/>
      <c r="F39" s="42"/>
      <c r="G39" s="42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</row>
    <row r="40">
      <c r="A40" s="8"/>
      <c r="B40" s="8"/>
      <c r="C40" s="8"/>
      <c r="D40" s="42"/>
      <c r="E40" s="42"/>
      <c r="F40" s="42"/>
      <c r="G40" s="42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</row>
    <row r="41">
      <c r="A41" s="8"/>
      <c r="B41" s="8"/>
      <c r="C41" s="8"/>
      <c r="D41" s="42"/>
      <c r="E41" s="42"/>
      <c r="F41" s="42"/>
      <c r="G41" s="42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</row>
    <row r="42">
      <c r="A42" s="8"/>
      <c r="B42" s="8"/>
      <c r="C42" s="8"/>
      <c r="D42" s="42"/>
      <c r="E42" s="42"/>
      <c r="F42" s="42"/>
      <c r="G42" s="42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</row>
    <row r="43">
      <c r="A43" s="8"/>
      <c r="B43" s="8"/>
      <c r="C43" s="8"/>
      <c r="D43" s="42"/>
      <c r="E43" s="42"/>
      <c r="F43" s="42"/>
      <c r="G43" s="42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</row>
    <row r="44">
      <c r="A44" s="8"/>
      <c r="B44" s="8"/>
      <c r="C44" s="8"/>
      <c r="D44" s="42"/>
      <c r="E44" s="42"/>
      <c r="F44" s="42"/>
      <c r="G44" s="42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</row>
    <row r="45">
      <c r="A45" s="8"/>
      <c r="B45" s="8"/>
      <c r="C45" s="8"/>
      <c r="D45" s="42"/>
      <c r="E45" s="42"/>
      <c r="F45" s="42"/>
      <c r="G45" s="42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</row>
    <row r="46">
      <c r="A46" s="8"/>
      <c r="B46" s="8"/>
      <c r="C46" s="8"/>
      <c r="D46" s="42"/>
      <c r="E46" s="42"/>
      <c r="F46" s="42"/>
      <c r="G46" s="42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</row>
    <row r="47">
      <c r="A47" s="8"/>
      <c r="B47" s="8"/>
      <c r="C47" s="8"/>
      <c r="D47" s="42"/>
      <c r="E47" s="42"/>
      <c r="F47" s="42"/>
      <c r="G47" s="42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</row>
    <row r="48">
      <c r="A48" s="8"/>
      <c r="B48" s="8"/>
      <c r="C48" s="8"/>
      <c r="D48" s="42"/>
      <c r="E48" s="42"/>
      <c r="F48" s="42"/>
      <c r="G48" s="42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</row>
    <row r="49">
      <c r="A49" s="8"/>
      <c r="B49" s="8"/>
      <c r="C49" s="8"/>
      <c r="D49" s="42"/>
      <c r="E49" s="42"/>
      <c r="F49" s="42"/>
      <c r="G49" s="42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</row>
    <row r="50">
      <c r="A50" s="8"/>
      <c r="B50" s="8"/>
      <c r="C50" s="8"/>
      <c r="D50" s="42"/>
      <c r="E50" s="42"/>
      <c r="F50" s="42"/>
      <c r="G50" s="42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</row>
    <row r="51">
      <c r="A51" s="8"/>
      <c r="B51" s="8"/>
      <c r="C51" s="8"/>
      <c r="D51" s="42"/>
      <c r="E51" s="42"/>
      <c r="F51" s="42"/>
      <c r="G51" s="42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</row>
    <row r="52">
      <c r="A52" s="8"/>
      <c r="B52" s="8"/>
      <c r="C52" s="8"/>
      <c r="D52" s="42"/>
      <c r="E52" s="42"/>
      <c r="F52" s="42"/>
      <c r="G52" s="42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</row>
    <row r="53">
      <c r="A53" s="8"/>
      <c r="B53" s="8"/>
      <c r="C53" s="8"/>
      <c r="D53" s="42"/>
      <c r="E53" s="42"/>
      <c r="F53" s="42"/>
      <c r="G53" s="42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</row>
    <row r="54">
      <c r="A54" s="8"/>
      <c r="B54" s="8"/>
      <c r="C54" s="8"/>
      <c r="D54" s="42"/>
      <c r="E54" s="42"/>
      <c r="F54" s="42"/>
      <c r="G54" s="42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</row>
    <row r="55">
      <c r="A55" s="8"/>
      <c r="B55" s="8"/>
      <c r="C55" s="8"/>
      <c r="D55" s="42"/>
      <c r="E55" s="42"/>
      <c r="F55" s="42"/>
      <c r="G55" s="42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</row>
    <row r="56">
      <c r="A56" s="8"/>
      <c r="B56" s="8"/>
      <c r="C56" s="8"/>
      <c r="D56" s="42"/>
      <c r="E56" s="42"/>
      <c r="F56" s="42"/>
      <c r="G56" s="42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</row>
    <row r="57">
      <c r="A57" s="8"/>
      <c r="B57" s="8"/>
      <c r="C57" s="8"/>
      <c r="D57" s="42"/>
      <c r="E57" s="42"/>
      <c r="F57" s="42"/>
      <c r="G57" s="42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</row>
    <row r="58">
      <c r="A58" s="8"/>
      <c r="B58" s="8"/>
      <c r="C58" s="8"/>
      <c r="D58" s="42"/>
      <c r="E58" s="42"/>
      <c r="F58" s="42"/>
      <c r="G58" s="42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</row>
    <row r="59">
      <c r="A59" s="8"/>
      <c r="B59" s="8"/>
      <c r="C59" s="8"/>
      <c r="D59" s="42"/>
      <c r="E59" s="42"/>
      <c r="F59" s="42"/>
      <c r="G59" s="42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</row>
    <row r="60">
      <c r="A60" s="8"/>
      <c r="B60" s="8"/>
      <c r="C60" s="8"/>
      <c r="D60" s="42"/>
      <c r="E60" s="42"/>
      <c r="F60" s="42"/>
      <c r="G60" s="42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</row>
    <row r="61">
      <c r="A61" s="8"/>
      <c r="B61" s="8"/>
      <c r="C61" s="8"/>
      <c r="D61" s="42"/>
      <c r="E61" s="42"/>
      <c r="F61" s="42"/>
      <c r="G61" s="42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</row>
    <row r="62">
      <c r="A62" s="8"/>
      <c r="B62" s="8"/>
      <c r="C62" s="8"/>
      <c r="D62" s="42"/>
      <c r="E62" s="42"/>
      <c r="F62" s="42"/>
      <c r="G62" s="42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</row>
    <row r="63">
      <c r="A63" s="8"/>
      <c r="B63" s="8"/>
      <c r="C63" s="8"/>
      <c r="D63" s="42"/>
      <c r="E63" s="42"/>
      <c r="F63" s="42"/>
      <c r="G63" s="42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</row>
    <row r="64">
      <c r="A64" s="8"/>
      <c r="B64" s="8"/>
      <c r="C64" s="8"/>
      <c r="D64" s="42"/>
      <c r="E64" s="42"/>
      <c r="F64" s="42"/>
      <c r="G64" s="42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</row>
    <row r="65">
      <c r="A65" s="8"/>
      <c r="B65" s="8"/>
      <c r="C65" s="8"/>
      <c r="D65" s="42"/>
      <c r="E65" s="42"/>
      <c r="F65" s="42"/>
      <c r="G65" s="42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</row>
    <row r="66">
      <c r="A66" s="8"/>
      <c r="B66" s="8"/>
      <c r="C66" s="8"/>
      <c r="D66" s="42"/>
      <c r="E66" s="42"/>
      <c r="F66" s="42"/>
      <c r="G66" s="42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</row>
    <row r="67">
      <c r="A67" s="8"/>
      <c r="B67" s="8"/>
      <c r="C67" s="8"/>
      <c r="D67" s="42"/>
      <c r="E67" s="42"/>
      <c r="F67" s="42"/>
      <c r="G67" s="42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</row>
    <row r="68">
      <c r="A68" s="8"/>
      <c r="B68" s="8"/>
      <c r="C68" s="8"/>
      <c r="D68" s="42"/>
      <c r="E68" s="42"/>
      <c r="F68" s="42"/>
      <c r="G68" s="42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</row>
    <row r="69">
      <c r="A69" s="8"/>
      <c r="B69" s="8"/>
      <c r="C69" s="8"/>
      <c r="D69" s="42"/>
      <c r="E69" s="42"/>
      <c r="F69" s="42"/>
      <c r="G69" s="42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</row>
    <row r="70">
      <c r="A70" s="8"/>
      <c r="B70" s="8"/>
      <c r="C70" s="8"/>
      <c r="D70" s="42"/>
      <c r="E70" s="42"/>
      <c r="F70" s="42"/>
      <c r="G70" s="42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</row>
    <row r="71">
      <c r="A71" s="8"/>
      <c r="B71" s="8"/>
      <c r="C71" s="8"/>
      <c r="D71" s="42"/>
      <c r="E71" s="42"/>
      <c r="F71" s="42"/>
      <c r="G71" s="42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</row>
    <row r="72">
      <c r="A72" s="8"/>
      <c r="B72" s="8"/>
      <c r="C72" s="8"/>
      <c r="D72" s="42"/>
      <c r="E72" s="42"/>
      <c r="F72" s="42"/>
      <c r="G72" s="42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</row>
    <row r="73">
      <c r="A73" s="8"/>
      <c r="B73" s="8"/>
      <c r="C73" s="8"/>
      <c r="D73" s="42"/>
      <c r="E73" s="42"/>
      <c r="F73" s="42"/>
      <c r="G73" s="42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</row>
    <row r="74">
      <c r="A74" s="8"/>
      <c r="B74" s="8"/>
      <c r="C74" s="8"/>
      <c r="D74" s="42"/>
      <c r="E74" s="42"/>
      <c r="F74" s="42"/>
      <c r="G74" s="42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</row>
    <row r="75">
      <c r="A75" s="8"/>
      <c r="B75" s="8"/>
      <c r="C75" s="8"/>
      <c r="D75" s="42"/>
      <c r="E75" s="42"/>
      <c r="F75" s="42"/>
      <c r="G75" s="42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</row>
    <row r="76">
      <c r="A76" s="8"/>
      <c r="B76" s="8"/>
      <c r="C76" s="8"/>
      <c r="D76" s="42"/>
      <c r="E76" s="42"/>
      <c r="F76" s="42"/>
      <c r="G76" s="42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</row>
    <row r="77">
      <c r="A77" s="8"/>
      <c r="B77" s="8"/>
      <c r="C77" s="8"/>
      <c r="D77" s="42"/>
      <c r="E77" s="42"/>
      <c r="F77" s="42"/>
      <c r="G77" s="42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</row>
    <row r="78">
      <c r="A78" s="8"/>
      <c r="B78" s="8"/>
      <c r="C78" s="8"/>
      <c r="D78" s="42"/>
      <c r="E78" s="42"/>
      <c r="F78" s="42"/>
      <c r="G78" s="42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</row>
    <row r="79">
      <c r="A79" s="8"/>
      <c r="B79" s="8"/>
      <c r="C79" s="8"/>
      <c r="D79" s="42"/>
      <c r="E79" s="42"/>
      <c r="F79" s="42"/>
      <c r="G79" s="42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</row>
    <row r="80">
      <c r="A80" s="8"/>
      <c r="B80" s="8"/>
      <c r="C80" s="8"/>
      <c r="D80" s="42"/>
      <c r="E80" s="42"/>
      <c r="F80" s="42"/>
      <c r="G80" s="42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</row>
    <row r="81">
      <c r="A81" s="8"/>
      <c r="B81" s="8"/>
      <c r="C81" s="8"/>
      <c r="D81" s="42"/>
      <c r="E81" s="42"/>
      <c r="F81" s="42"/>
      <c r="G81" s="42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</row>
    <row r="82">
      <c r="A82" s="8"/>
      <c r="B82" s="8"/>
      <c r="C82" s="8"/>
      <c r="D82" s="42"/>
      <c r="E82" s="42"/>
      <c r="F82" s="42"/>
      <c r="G82" s="42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</row>
    <row r="83">
      <c r="A83" s="8"/>
      <c r="B83" s="8"/>
      <c r="C83" s="8"/>
      <c r="D83" s="42"/>
      <c r="E83" s="42"/>
      <c r="F83" s="42"/>
      <c r="G83" s="42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</row>
    <row r="84">
      <c r="A84" s="8"/>
      <c r="B84" s="8"/>
      <c r="C84" s="8"/>
      <c r="D84" s="42"/>
      <c r="E84" s="42"/>
      <c r="F84" s="42"/>
      <c r="G84" s="42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</row>
    <row r="85">
      <c r="A85" s="8"/>
      <c r="B85" s="8"/>
      <c r="C85" s="8"/>
      <c r="D85" s="42"/>
      <c r="E85" s="42"/>
      <c r="F85" s="42"/>
      <c r="G85" s="42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</row>
    <row r="86">
      <c r="A86" s="8"/>
      <c r="B86" s="8"/>
      <c r="C86" s="8"/>
      <c r="D86" s="42"/>
      <c r="E86" s="42"/>
      <c r="F86" s="42"/>
      <c r="G86" s="42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</row>
    <row r="87">
      <c r="A87" s="8"/>
      <c r="B87" s="8"/>
      <c r="C87" s="8"/>
      <c r="D87" s="42"/>
      <c r="E87" s="42"/>
      <c r="F87" s="42"/>
      <c r="G87" s="42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</row>
    <row r="88">
      <c r="A88" s="8"/>
      <c r="B88" s="8"/>
      <c r="C88" s="8"/>
      <c r="D88" s="42"/>
      <c r="E88" s="42"/>
      <c r="F88" s="42"/>
      <c r="G88" s="42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</row>
    <row r="89">
      <c r="A89" s="8"/>
      <c r="B89" s="8"/>
      <c r="C89" s="8"/>
      <c r="D89" s="42"/>
      <c r="E89" s="42"/>
      <c r="F89" s="42"/>
      <c r="G89" s="42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</row>
    <row r="90">
      <c r="A90" s="8"/>
      <c r="B90" s="8"/>
      <c r="C90" s="8"/>
      <c r="D90" s="42"/>
      <c r="E90" s="42"/>
      <c r="F90" s="42"/>
      <c r="G90" s="42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</row>
    <row r="91">
      <c r="A91" s="8"/>
      <c r="B91" s="8"/>
      <c r="C91" s="8"/>
      <c r="D91" s="42"/>
      <c r="E91" s="42"/>
      <c r="F91" s="42"/>
      <c r="G91" s="42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</row>
    <row r="92">
      <c r="A92" s="8"/>
      <c r="B92" s="8"/>
      <c r="C92" s="8"/>
      <c r="D92" s="42"/>
      <c r="E92" s="42"/>
      <c r="F92" s="42"/>
      <c r="G92" s="42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</row>
    <row r="93">
      <c r="A93" s="8"/>
      <c r="B93" s="8"/>
      <c r="C93" s="8"/>
      <c r="D93" s="42"/>
      <c r="E93" s="42"/>
      <c r="F93" s="42"/>
      <c r="G93" s="42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</row>
    <row r="94">
      <c r="A94" s="8"/>
      <c r="B94" s="8"/>
      <c r="C94" s="8"/>
      <c r="D94" s="42"/>
      <c r="E94" s="42"/>
      <c r="F94" s="42"/>
      <c r="G94" s="42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</row>
    <row r="95">
      <c r="A95" s="8"/>
      <c r="B95" s="8"/>
      <c r="C95" s="8"/>
      <c r="D95" s="42"/>
      <c r="E95" s="42"/>
      <c r="F95" s="42"/>
      <c r="G95" s="42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</row>
    <row r="96">
      <c r="A96" s="8"/>
      <c r="B96" s="8"/>
      <c r="C96" s="8"/>
      <c r="D96" s="42"/>
      <c r="E96" s="42"/>
      <c r="F96" s="42"/>
      <c r="G96" s="42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</row>
    <row r="97">
      <c r="A97" s="8"/>
      <c r="B97" s="8"/>
      <c r="C97" s="8"/>
      <c r="D97" s="42"/>
      <c r="E97" s="42"/>
      <c r="F97" s="42"/>
      <c r="G97" s="42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</row>
    <row r="98">
      <c r="A98" s="8"/>
      <c r="B98" s="8"/>
      <c r="C98" s="8"/>
      <c r="D98" s="42"/>
      <c r="E98" s="42"/>
      <c r="F98" s="42"/>
      <c r="G98" s="42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</row>
    <row r="99">
      <c r="A99" s="8"/>
      <c r="B99" s="8"/>
      <c r="C99" s="8"/>
      <c r="D99" s="42"/>
      <c r="E99" s="42"/>
      <c r="F99" s="42"/>
      <c r="G99" s="42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</row>
    <row r="100">
      <c r="A100" s="8"/>
      <c r="B100" s="8"/>
      <c r="C100" s="8"/>
      <c r="D100" s="42"/>
      <c r="E100" s="42"/>
      <c r="F100" s="42"/>
      <c r="G100" s="42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</row>
    <row r="101">
      <c r="A101" s="8"/>
      <c r="B101" s="8"/>
      <c r="C101" s="8"/>
      <c r="D101" s="42"/>
      <c r="E101" s="42"/>
      <c r="F101" s="42"/>
      <c r="G101" s="42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</row>
    <row r="102">
      <c r="A102" s="8"/>
      <c r="B102" s="8"/>
      <c r="C102" s="8"/>
      <c r="D102" s="42"/>
      <c r="E102" s="42"/>
      <c r="F102" s="42"/>
      <c r="G102" s="42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</row>
    <row r="103">
      <c r="A103" s="8"/>
      <c r="B103" s="8"/>
      <c r="C103" s="8"/>
      <c r="D103" s="42"/>
      <c r="E103" s="42"/>
      <c r="F103" s="42"/>
      <c r="G103" s="42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</row>
    <row r="104">
      <c r="A104" s="8"/>
      <c r="B104" s="8"/>
      <c r="C104" s="8"/>
      <c r="D104" s="42"/>
      <c r="E104" s="42"/>
      <c r="F104" s="42"/>
      <c r="G104" s="42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</row>
    <row r="105">
      <c r="A105" s="8"/>
      <c r="B105" s="8"/>
      <c r="C105" s="8"/>
      <c r="D105" s="42"/>
      <c r="E105" s="42"/>
      <c r="F105" s="42"/>
      <c r="G105" s="42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</row>
    <row r="106">
      <c r="A106" s="8"/>
      <c r="B106" s="8"/>
      <c r="C106" s="8"/>
      <c r="D106" s="42"/>
      <c r="E106" s="42"/>
      <c r="F106" s="42"/>
      <c r="G106" s="42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</row>
    <row r="107">
      <c r="A107" s="8"/>
      <c r="B107" s="8"/>
      <c r="C107" s="8"/>
      <c r="D107" s="42"/>
      <c r="E107" s="42"/>
      <c r="F107" s="42"/>
      <c r="G107" s="42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</row>
    <row r="108">
      <c r="A108" s="8"/>
      <c r="B108" s="8"/>
      <c r="C108" s="8"/>
      <c r="D108" s="42"/>
      <c r="E108" s="42"/>
      <c r="F108" s="42"/>
      <c r="G108" s="42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</row>
    <row r="109">
      <c r="A109" s="8"/>
      <c r="B109" s="8"/>
      <c r="C109" s="8"/>
      <c r="D109" s="42"/>
      <c r="E109" s="42"/>
      <c r="F109" s="42"/>
      <c r="G109" s="42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</row>
    <row r="110">
      <c r="A110" s="8"/>
      <c r="B110" s="8"/>
      <c r="C110" s="8"/>
      <c r="D110" s="42"/>
      <c r="E110" s="42"/>
      <c r="F110" s="42"/>
      <c r="G110" s="42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</row>
    <row r="111">
      <c r="A111" s="8"/>
      <c r="B111" s="8"/>
      <c r="C111" s="8"/>
      <c r="D111" s="42"/>
      <c r="E111" s="42"/>
      <c r="F111" s="42"/>
      <c r="G111" s="42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</row>
    <row r="112">
      <c r="A112" s="8"/>
      <c r="B112" s="8"/>
      <c r="C112" s="8"/>
      <c r="D112" s="42"/>
      <c r="E112" s="42"/>
      <c r="F112" s="42"/>
      <c r="G112" s="42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</row>
    <row r="113">
      <c r="A113" s="8"/>
      <c r="B113" s="8"/>
      <c r="C113" s="8"/>
      <c r="D113" s="42"/>
      <c r="E113" s="42"/>
      <c r="F113" s="42"/>
      <c r="G113" s="42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</row>
    <row r="114">
      <c r="A114" s="8"/>
      <c r="B114" s="8"/>
      <c r="C114" s="8"/>
      <c r="D114" s="42"/>
      <c r="E114" s="42"/>
      <c r="F114" s="42"/>
      <c r="G114" s="42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</row>
    <row r="115">
      <c r="A115" s="8"/>
      <c r="B115" s="8"/>
      <c r="C115" s="8"/>
      <c r="D115" s="42"/>
      <c r="E115" s="42"/>
      <c r="F115" s="42"/>
      <c r="G115" s="42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</row>
    <row r="116">
      <c r="A116" s="8"/>
      <c r="B116" s="8"/>
      <c r="C116" s="8"/>
      <c r="D116" s="42"/>
      <c r="E116" s="42"/>
      <c r="F116" s="42"/>
      <c r="G116" s="42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</row>
    <row r="117">
      <c r="A117" s="8"/>
      <c r="B117" s="8"/>
      <c r="C117" s="8"/>
      <c r="D117" s="42"/>
      <c r="E117" s="42"/>
      <c r="F117" s="42"/>
      <c r="G117" s="42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</row>
    <row r="118">
      <c r="A118" s="8"/>
      <c r="B118" s="8"/>
      <c r="C118" s="8"/>
      <c r="D118" s="42"/>
      <c r="E118" s="42"/>
      <c r="F118" s="42"/>
      <c r="G118" s="42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</row>
    <row r="119">
      <c r="A119" s="8"/>
      <c r="B119" s="8"/>
      <c r="C119" s="8"/>
      <c r="D119" s="42"/>
      <c r="E119" s="42"/>
      <c r="F119" s="42"/>
      <c r="G119" s="42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</row>
    <row r="120">
      <c r="A120" s="8"/>
      <c r="B120" s="8"/>
      <c r="C120" s="8"/>
      <c r="D120" s="42"/>
      <c r="E120" s="42"/>
      <c r="F120" s="42"/>
      <c r="G120" s="42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</row>
    <row r="121">
      <c r="A121" s="8"/>
      <c r="B121" s="8"/>
      <c r="C121" s="8"/>
      <c r="D121" s="42"/>
      <c r="E121" s="42"/>
      <c r="F121" s="42"/>
      <c r="G121" s="42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</row>
    <row r="122">
      <c r="A122" s="8"/>
      <c r="B122" s="8"/>
      <c r="C122" s="8"/>
      <c r="D122" s="42"/>
      <c r="E122" s="42"/>
      <c r="F122" s="42"/>
      <c r="G122" s="42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</row>
    <row r="123">
      <c r="A123" s="8"/>
      <c r="B123" s="8"/>
      <c r="C123" s="8"/>
      <c r="D123" s="42"/>
      <c r="E123" s="42"/>
      <c r="F123" s="42"/>
      <c r="G123" s="42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</row>
    <row r="124">
      <c r="A124" s="8"/>
      <c r="B124" s="8"/>
      <c r="C124" s="8"/>
      <c r="D124" s="42"/>
      <c r="E124" s="42"/>
      <c r="F124" s="42"/>
      <c r="G124" s="42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</row>
    <row r="125">
      <c r="A125" s="8"/>
      <c r="B125" s="8"/>
      <c r="C125" s="8"/>
      <c r="D125" s="42"/>
      <c r="E125" s="42"/>
      <c r="F125" s="42"/>
      <c r="G125" s="42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</row>
    <row r="126">
      <c r="A126" s="8"/>
      <c r="B126" s="8"/>
      <c r="C126" s="8"/>
      <c r="D126" s="42"/>
      <c r="E126" s="42"/>
      <c r="F126" s="42"/>
      <c r="G126" s="42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</row>
    <row r="127">
      <c r="A127" s="8"/>
      <c r="B127" s="8"/>
      <c r="C127" s="8"/>
      <c r="D127" s="42"/>
      <c r="E127" s="42"/>
      <c r="F127" s="42"/>
      <c r="G127" s="42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</row>
    <row r="128">
      <c r="A128" s="8"/>
      <c r="B128" s="8"/>
      <c r="C128" s="8"/>
      <c r="D128" s="42"/>
      <c r="E128" s="42"/>
      <c r="F128" s="42"/>
      <c r="G128" s="42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</row>
    <row r="129">
      <c r="A129" s="8"/>
      <c r="B129" s="8"/>
      <c r="C129" s="8"/>
      <c r="D129" s="42"/>
      <c r="E129" s="42"/>
      <c r="F129" s="42"/>
      <c r="G129" s="42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</row>
    <row r="130">
      <c r="A130" s="8"/>
      <c r="B130" s="8"/>
      <c r="C130" s="8"/>
      <c r="D130" s="42"/>
      <c r="E130" s="42"/>
      <c r="F130" s="42"/>
      <c r="G130" s="42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</row>
    <row r="131">
      <c r="A131" s="8"/>
      <c r="B131" s="8"/>
      <c r="C131" s="8"/>
      <c r="D131" s="42"/>
      <c r="E131" s="42"/>
      <c r="F131" s="42"/>
      <c r="G131" s="42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</row>
    <row r="132">
      <c r="A132" s="8"/>
      <c r="B132" s="8"/>
      <c r="C132" s="8"/>
      <c r="D132" s="42"/>
      <c r="E132" s="42"/>
      <c r="F132" s="42"/>
      <c r="G132" s="42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</row>
    <row r="133">
      <c r="A133" s="8"/>
      <c r="B133" s="8"/>
      <c r="C133" s="8"/>
      <c r="D133" s="42"/>
      <c r="E133" s="42"/>
      <c r="F133" s="42"/>
      <c r="G133" s="42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</row>
    <row r="134">
      <c r="A134" s="8"/>
      <c r="B134" s="8"/>
      <c r="C134" s="8"/>
      <c r="D134" s="42"/>
      <c r="E134" s="42"/>
      <c r="F134" s="42"/>
      <c r="G134" s="42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</row>
    <row r="135">
      <c r="A135" s="8"/>
      <c r="B135" s="8"/>
      <c r="C135" s="8"/>
      <c r="D135" s="42"/>
      <c r="E135" s="42"/>
      <c r="F135" s="42"/>
      <c r="G135" s="42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</row>
    <row r="136">
      <c r="A136" s="8"/>
      <c r="B136" s="8"/>
      <c r="C136" s="8"/>
      <c r="D136" s="42"/>
      <c r="E136" s="42"/>
      <c r="F136" s="42"/>
      <c r="G136" s="42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</row>
    <row r="137">
      <c r="A137" s="8"/>
      <c r="B137" s="8"/>
      <c r="C137" s="8"/>
      <c r="D137" s="42"/>
      <c r="E137" s="42"/>
      <c r="F137" s="42"/>
      <c r="G137" s="42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</row>
    <row r="138">
      <c r="A138" s="8"/>
      <c r="B138" s="8"/>
      <c r="C138" s="8"/>
      <c r="D138" s="42"/>
      <c r="E138" s="42"/>
      <c r="F138" s="42"/>
      <c r="G138" s="42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</row>
    <row r="139">
      <c r="A139" s="8"/>
      <c r="B139" s="8"/>
      <c r="C139" s="8"/>
      <c r="D139" s="42"/>
      <c r="E139" s="42"/>
      <c r="F139" s="42"/>
      <c r="G139" s="42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</row>
    <row r="140">
      <c r="A140" s="8"/>
      <c r="B140" s="8"/>
      <c r="C140" s="8"/>
      <c r="D140" s="42"/>
      <c r="E140" s="42"/>
      <c r="F140" s="42"/>
      <c r="G140" s="42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</row>
    <row r="141">
      <c r="A141" s="8"/>
      <c r="B141" s="8"/>
      <c r="C141" s="8"/>
      <c r="D141" s="42"/>
      <c r="E141" s="42"/>
      <c r="F141" s="42"/>
      <c r="G141" s="42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</row>
    <row r="142">
      <c r="A142" s="8"/>
      <c r="B142" s="8"/>
      <c r="C142" s="8"/>
      <c r="D142" s="42"/>
      <c r="E142" s="42"/>
      <c r="F142" s="42"/>
      <c r="G142" s="42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</row>
    <row r="143">
      <c r="A143" s="8"/>
      <c r="B143" s="8"/>
      <c r="C143" s="8"/>
      <c r="D143" s="42"/>
      <c r="E143" s="42"/>
      <c r="F143" s="42"/>
      <c r="G143" s="42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</row>
    <row r="144">
      <c r="A144" s="8"/>
      <c r="B144" s="8"/>
      <c r="C144" s="8"/>
      <c r="D144" s="42"/>
      <c r="E144" s="42"/>
      <c r="F144" s="42"/>
      <c r="G144" s="42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</row>
    <row r="145">
      <c r="A145" s="8"/>
      <c r="B145" s="8"/>
      <c r="C145" s="8"/>
      <c r="D145" s="42"/>
      <c r="E145" s="42"/>
      <c r="F145" s="42"/>
      <c r="G145" s="42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</row>
    <row r="146">
      <c r="A146" s="8"/>
      <c r="B146" s="8"/>
      <c r="C146" s="8"/>
      <c r="D146" s="42"/>
      <c r="E146" s="42"/>
      <c r="F146" s="42"/>
      <c r="G146" s="42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</row>
    <row r="147">
      <c r="A147" s="8"/>
      <c r="B147" s="8"/>
      <c r="C147" s="8"/>
      <c r="D147" s="42"/>
      <c r="E147" s="42"/>
      <c r="F147" s="42"/>
      <c r="G147" s="42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</row>
    <row r="148">
      <c r="A148" s="8"/>
      <c r="B148" s="8"/>
      <c r="C148" s="8"/>
      <c r="D148" s="42"/>
      <c r="E148" s="42"/>
      <c r="F148" s="42"/>
      <c r="G148" s="42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</row>
    <row r="149">
      <c r="A149" s="8"/>
      <c r="B149" s="8"/>
      <c r="C149" s="8"/>
      <c r="D149" s="42"/>
      <c r="E149" s="42"/>
      <c r="F149" s="42"/>
      <c r="G149" s="42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</row>
    <row r="150">
      <c r="A150" s="8"/>
      <c r="B150" s="8"/>
      <c r="C150" s="8"/>
      <c r="D150" s="42"/>
      <c r="E150" s="42"/>
      <c r="F150" s="42"/>
      <c r="G150" s="42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</row>
    <row r="151">
      <c r="A151" s="8"/>
      <c r="B151" s="8"/>
      <c r="C151" s="8"/>
      <c r="D151" s="42"/>
      <c r="E151" s="42"/>
      <c r="F151" s="42"/>
      <c r="G151" s="42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</row>
    <row r="152">
      <c r="A152" s="8"/>
      <c r="B152" s="8"/>
      <c r="C152" s="8"/>
      <c r="D152" s="42"/>
      <c r="E152" s="42"/>
      <c r="F152" s="42"/>
      <c r="G152" s="42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</row>
    <row r="153">
      <c r="A153" s="8"/>
      <c r="B153" s="8"/>
      <c r="C153" s="8"/>
      <c r="D153" s="42"/>
      <c r="E153" s="42"/>
      <c r="F153" s="42"/>
      <c r="G153" s="42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</row>
    <row r="154">
      <c r="A154" s="8"/>
      <c r="B154" s="8"/>
      <c r="C154" s="8"/>
      <c r="D154" s="42"/>
      <c r="E154" s="42"/>
      <c r="F154" s="42"/>
      <c r="G154" s="42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</row>
    <row r="155">
      <c r="A155" s="8"/>
      <c r="B155" s="8"/>
      <c r="C155" s="8"/>
      <c r="D155" s="42"/>
      <c r="E155" s="42"/>
      <c r="F155" s="42"/>
      <c r="G155" s="42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</row>
    <row r="156">
      <c r="A156" s="8"/>
      <c r="B156" s="8"/>
      <c r="C156" s="8"/>
      <c r="D156" s="42"/>
      <c r="E156" s="42"/>
      <c r="F156" s="42"/>
      <c r="G156" s="42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</row>
    <row r="157">
      <c r="A157" s="8"/>
      <c r="B157" s="8"/>
      <c r="C157" s="8"/>
      <c r="D157" s="42"/>
      <c r="E157" s="42"/>
      <c r="F157" s="42"/>
      <c r="G157" s="42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</row>
    <row r="158">
      <c r="A158" s="8"/>
      <c r="B158" s="8"/>
      <c r="C158" s="8"/>
      <c r="D158" s="42"/>
      <c r="E158" s="42"/>
      <c r="F158" s="42"/>
      <c r="G158" s="42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</row>
    <row r="159">
      <c r="A159" s="8"/>
      <c r="B159" s="8"/>
      <c r="C159" s="8"/>
      <c r="D159" s="42"/>
      <c r="E159" s="42"/>
      <c r="F159" s="42"/>
      <c r="G159" s="42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</row>
    <row r="160">
      <c r="A160" s="8"/>
      <c r="B160" s="8"/>
      <c r="C160" s="8"/>
      <c r="D160" s="42"/>
      <c r="E160" s="42"/>
      <c r="F160" s="42"/>
      <c r="G160" s="42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</row>
    <row r="161">
      <c r="A161" s="8"/>
      <c r="B161" s="8"/>
      <c r="C161" s="8"/>
      <c r="D161" s="42"/>
      <c r="E161" s="42"/>
      <c r="F161" s="42"/>
      <c r="G161" s="42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</row>
    <row r="162">
      <c r="A162" s="8"/>
      <c r="B162" s="8"/>
      <c r="C162" s="8"/>
      <c r="D162" s="42"/>
      <c r="E162" s="42"/>
      <c r="F162" s="42"/>
      <c r="G162" s="42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</row>
    <row r="163">
      <c r="A163" s="8"/>
      <c r="B163" s="8"/>
      <c r="C163" s="8"/>
      <c r="D163" s="42"/>
      <c r="E163" s="42"/>
      <c r="F163" s="42"/>
      <c r="G163" s="42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</row>
    <row r="164">
      <c r="A164" s="8"/>
      <c r="B164" s="8"/>
      <c r="C164" s="8"/>
      <c r="D164" s="42"/>
      <c r="E164" s="42"/>
      <c r="F164" s="42"/>
      <c r="G164" s="42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</row>
    <row r="165">
      <c r="A165" s="8"/>
      <c r="B165" s="8"/>
      <c r="C165" s="8"/>
      <c r="D165" s="42"/>
      <c r="E165" s="42"/>
      <c r="F165" s="42"/>
      <c r="G165" s="42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</row>
    <row r="166">
      <c r="A166" s="8"/>
      <c r="B166" s="8"/>
      <c r="C166" s="8"/>
      <c r="D166" s="42"/>
      <c r="E166" s="42"/>
      <c r="F166" s="42"/>
      <c r="G166" s="42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</row>
    <row r="167">
      <c r="A167" s="8"/>
      <c r="B167" s="8"/>
      <c r="C167" s="8"/>
      <c r="D167" s="42"/>
      <c r="E167" s="42"/>
      <c r="F167" s="42"/>
      <c r="G167" s="42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</row>
    <row r="168">
      <c r="A168" s="8"/>
      <c r="B168" s="8"/>
      <c r="C168" s="8"/>
      <c r="D168" s="42"/>
      <c r="E168" s="42"/>
      <c r="F168" s="42"/>
      <c r="G168" s="42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</row>
    <row r="169">
      <c r="A169" s="8"/>
      <c r="B169" s="8"/>
      <c r="C169" s="8"/>
      <c r="D169" s="42"/>
      <c r="E169" s="42"/>
      <c r="F169" s="42"/>
      <c r="G169" s="42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</row>
    <row r="170">
      <c r="A170" s="8"/>
      <c r="B170" s="8"/>
      <c r="C170" s="8"/>
      <c r="D170" s="42"/>
      <c r="E170" s="42"/>
      <c r="F170" s="42"/>
      <c r="G170" s="42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</row>
    <row r="171">
      <c r="A171" s="8"/>
      <c r="B171" s="8"/>
      <c r="C171" s="8"/>
      <c r="D171" s="42"/>
      <c r="E171" s="42"/>
      <c r="F171" s="42"/>
      <c r="G171" s="42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</row>
    <row r="172">
      <c r="A172" s="8"/>
      <c r="B172" s="8"/>
      <c r="C172" s="8"/>
      <c r="D172" s="42"/>
      <c r="E172" s="42"/>
      <c r="F172" s="42"/>
      <c r="G172" s="42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</row>
    <row r="173">
      <c r="A173" s="8"/>
      <c r="B173" s="8"/>
      <c r="C173" s="8"/>
      <c r="D173" s="42"/>
      <c r="E173" s="42"/>
      <c r="F173" s="42"/>
      <c r="G173" s="42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</row>
    <row r="174">
      <c r="A174" s="8"/>
      <c r="B174" s="8"/>
      <c r="C174" s="8"/>
      <c r="D174" s="42"/>
      <c r="E174" s="42"/>
      <c r="F174" s="42"/>
      <c r="G174" s="42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</row>
    <row r="175">
      <c r="A175" s="8"/>
      <c r="B175" s="8"/>
      <c r="C175" s="8"/>
      <c r="D175" s="42"/>
      <c r="E175" s="42"/>
      <c r="F175" s="42"/>
      <c r="G175" s="42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</row>
    <row r="176">
      <c r="A176" s="8"/>
      <c r="B176" s="8"/>
      <c r="C176" s="8"/>
      <c r="D176" s="42"/>
      <c r="E176" s="42"/>
      <c r="F176" s="42"/>
      <c r="G176" s="42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</row>
    <row r="177">
      <c r="A177" s="8"/>
      <c r="B177" s="8"/>
      <c r="C177" s="8"/>
      <c r="D177" s="42"/>
      <c r="E177" s="42"/>
      <c r="F177" s="42"/>
      <c r="G177" s="42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</row>
    <row r="178">
      <c r="A178" s="8"/>
      <c r="B178" s="8"/>
      <c r="C178" s="8"/>
      <c r="D178" s="42"/>
      <c r="E178" s="42"/>
      <c r="F178" s="42"/>
      <c r="G178" s="42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</row>
    <row r="179">
      <c r="A179" s="8"/>
      <c r="B179" s="8"/>
      <c r="C179" s="8"/>
      <c r="D179" s="42"/>
      <c r="E179" s="42"/>
      <c r="F179" s="42"/>
      <c r="G179" s="42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</row>
    <row r="180">
      <c r="A180" s="8"/>
      <c r="B180" s="8"/>
      <c r="C180" s="8"/>
      <c r="D180" s="42"/>
      <c r="E180" s="42"/>
      <c r="F180" s="42"/>
      <c r="G180" s="42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</row>
    <row r="181">
      <c r="A181" s="8"/>
      <c r="B181" s="8"/>
      <c r="C181" s="8"/>
      <c r="D181" s="42"/>
      <c r="E181" s="42"/>
      <c r="F181" s="42"/>
      <c r="G181" s="42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</row>
    <row r="182">
      <c r="A182" s="8"/>
      <c r="B182" s="8"/>
      <c r="C182" s="8"/>
      <c r="D182" s="42"/>
      <c r="E182" s="42"/>
      <c r="F182" s="42"/>
      <c r="G182" s="42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</row>
    <row r="183">
      <c r="A183" s="8"/>
      <c r="B183" s="8"/>
      <c r="C183" s="8"/>
      <c r="D183" s="42"/>
      <c r="E183" s="42"/>
      <c r="F183" s="42"/>
      <c r="G183" s="42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</row>
    <row r="184">
      <c r="A184" s="8"/>
      <c r="B184" s="8"/>
      <c r="C184" s="8"/>
      <c r="D184" s="42"/>
      <c r="E184" s="42"/>
      <c r="F184" s="42"/>
      <c r="G184" s="42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</row>
    <row r="185">
      <c r="A185" s="8"/>
      <c r="B185" s="8"/>
      <c r="C185" s="8"/>
      <c r="D185" s="42"/>
      <c r="E185" s="42"/>
      <c r="F185" s="42"/>
      <c r="G185" s="42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</row>
    <row r="186">
      <c r="A186" s="8"/>
      <c r="B186" s="8"/>
      <c r="C186" s="8"/>
      <c r="D186" s="42"/>
      <c r="E186" s="42"/>
      <c r="F186" s="42"/>
      <c r="G186" s="42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</row>
    <row r="187">
      <c r="A187" s="8"/>
      <c r="B187" s="8"/>
      <c r="C187" s="8"/>
      <c r="D187" s="42"/>
      <c r="E187" s="42"/>
      <c r="F187" s="42"/>
      <c r="G187" s="42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</row>
    <row r="188">
      <c r="A188" s="8"/>
      <c r="B188" s="8"/>
      <c r="C188" s="8"/>
      <c r="D188" s="42"/>
      <c r="E188" s="42"/>
      <c r="F188" s="42"/>
      <c r="G188" s="42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</row>
    <row r="189">
      <c r="A189" s="8"/>
      <c r="B189" s="8"/>
      <c r="C189" s="8"/>
      <c r="D189" s="42"/>
      <c r="E189" s="42"/>
      <c r="F189" s="42"/>
      <c r="G189" s="42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</row>
    <row r="190">
      <c r="A190" s="8"/>
      <c r="B190" s="8"/>
      <c r="C190" s="8"/>
      <c r="D190" s="42"/>
      <c r="E190" s="42"/>
      <c r="F190" s="42"/>
      <c r="G190" s="42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</row>
    <row r="191">
      <c r="A191" s="8"/>
      <c r="B191" s="8"/>
      <c r="C191" s="8"/>
      <c r="D191" s="42"/>
      <c r="E191" s="42"/>
      <c r="F191" s="42"/>
      <c r="G191" s="42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</row>
    <row r="192">
      <c r="A192" s="8"/>
      <c r="B192" s="8"/>
      <c r="C192" s="8"/>
      <c r="D192" s="42"/>
      <c r="E192" s="42"/>
      <c r="F192" s="42"/>
      <c r="G192" s="42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</row>
    <row r="193">
      <c r="A193" s="8"/>
      <c r="B193" s="8"/>
      <c r="C193" s="8"/>
      <c r="D193" s="42"/>
      <c r="E193" s="42"/>
      <c r="F193" s="42"/>
      <c r="G193" s="42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</row>
    <row r="194">
      <c r="A194" s="8"/>
      <c r="B194" s="8"/>
      <c r="C194" s="8"/>
      <c r="D194" s="42"/>
      <c r="E194" s="42"/>
      <c r="F194" s="42"/>
      <c r="G194" s="42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</row>
    <row r="195">
      <c r="A195" s="8"/>
      <c r="B195" s="8"/>
      <c r="C195" s="8"/>
      <c r="D195" s="42"/>
      <c r="E195" s="42"/>
      <c r="F195" s="42"/>
      <c r="G195" s="42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</row>
    <row r="196">
      <c r="A196" s="8"/>
      <c r="B196" s="8"/>
      <c r="C196" s="8"/>
      <c r="D196" s="42"/>
      <c r="E196" s="42"/>
      <c r="F196" s="42"/>
      <c r="G196" s="42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</row>
    <row r="197">
      <c r="A197" s="8"/>
      <c r="B197" s="8"/>
      <c r="C197" s="8"/>
      <c r="D197" s="42"/>
      <c r="E197" s="42"/>
      <c r="F197" s="42"/>
      <c r="G197" s="42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</row>
    <row r="198">
      <c r="A198" s="8"/>
      <c r="B198" s="8"/>
      <c r="C198" s="8"/>
      <c r="D198" s="42"/>
      <c r="E198" s="42"/>
      <c r="F198" s="42"/>
      <c r="G198" s="42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</row>
    <row r="199">
      <c r="A199" s="8"/>
      <c r="B199" s="8"/>
      <c r="C199" s="8"/>
      <c r="D199" s="42"/>
      <c r="E199" s="42"/>
      <c r="F199" s="42"/>
      <c r="G199" s="42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</row>
    <row r="200">
      <c r="A200" s="8"/>
      <c r="B200" s="8"/>
      <c r="C200" s="8"/>
      <c r="D200" s="42"/>
      <c r="E200" s="42"/>
      <c r="F200" s="42"/>
      <c r="G200" s="42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</row>
    <row r="201">
      <c r="A201" s="8"/>
      <c r="B201" s="8"/>
      <c r="C201" s="8"/>
      <c r="D201" s="42"/>
      <c r="E201" s="42"/>
      <c r="F201" s="42"/>
      <c r="G201" s="42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</row>
    <row r="202">
      <c r="A202" s="8"/>
      <c r="B202" s="8"/>
      <c r="C202" s="8"/>
      <c r="D202" s="42"/>
      <c r="E202" s="42"/>
      <c r="F202" s="42"/>
      <c r="G202" s="42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</row>
    <row r="203">
      <c r="A203" s="8"/>
      <c r="B203" s="8"/>
      <c r="C203" s="8"/>
      <c r="D203" s="42"/>
      <c r="E203" s="42"/>
      <c r="F203" s="42"/>
      <c r="G203" s="42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</row>
    <row r="204">
      <c r="A204" s="8"/>
      <c r="B204" s="8"/>
      <c r="C204" s="8"/>
      <c r="D204" s="42"/>
      <c r="E204" s="42"/>
      <c r="F204" s="42"/>
      <c r="G204" s="42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</row>
    <row r="205">
      <c r="A205" s="8"/>
      <c r="B205" s="8"/>
      <c r="C205" s="8"/>
      <c r="D205" s="42"/>
      <c r="E205" s="42"/>
      <c r="F205" s="42"/>
      <c r="G205" s="42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</row>
    <row r="206">
      <c r="A206" s="8"/>
      <c r="B206" s="8"/>
      <c r="C206" s="8"/>
      <c r="D206" s="42"/>
      <c r="E206" s="42"/>
      <c r="F206" s="42"/>
      <c r="G206" s="42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</row>
    <row r="207">
      <c r="A207" s="8"/>
      <c r="B207" s="8"/>
      <c r="C207" s="8"/>
      <c r="D207" s="42"/>
      <c r="E207" s="42"/>
      <c r="F207" s="42"/>
      <c r="G207" s="42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</row>
    <row r="208">
      <c r="A208" s="8"/>
      <c r="B208" s="8"/>
      <c r="C208" s="8"/>
      <c r="D208" s="42"/>
      <c r="E208" s="42"/>
      <c r="F208" s="42"/>
      <c r="G208" s="42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</row>
    <row r="209">
      <c r="A209" s="8"/>
      <c r="B209" s="8"/>
      <c r="C209" s="8"/>
      <c r="D209" s="42"/>
      <c r="E209" s="42"/>
      <c r="F209" s="42"/>
      <c r="G209" s="42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</row>
    <row r="210">
      <c r="A210" s="8"/>
      <c r="B210" s="8"/>
      <c r="C210" s="8"/>
      <c r="D210" s="42"/>
      <c r="E210" s="42"/>
      <c r="F210" s="42"/>
      <c r="G210" s="42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</row>
    <row r="211">
      <c r="A211" s="8"/>
      <c r="B211" s="8"/>
      <c r="C211" s="8"/>
      <c r="D211" s="42"/>
      <c r="E211" s="42"/>
      <c r="F211" s="42"/>
      <c r="G211" s="42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</row>
    <row r="212">
      <c r="A212" s="8"/>
      <c r="B212" s="8"/>
      <c r="C212" s="8"/>
      <c r="D212" s="42"/>
      <c r="E212" s="42"/>
      <c r="F212" s="42"/>
      <c r="G212" s="42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</row>
    <row r="213">
      <c r="A213" s="8"/>
      <c r="B213" s="8"/>
      <c r="C213" s="8"/>
      <c r="D213" s="42"/>
      <c r="E213" s="42"/>
      <c r="F213" s="42"/>
      <c r="G213" s="42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</row>
    <row r="214">
      <c r="A214" s="8"/>
      <c r="B214" s="8"/>
      <c r="C214" s="8"/>
      <c r="D214" s="42"/>
      <c r="E214" s="42"/>
      <c r="F214" s="42"/>
      <c r="G214" s="42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</row>
    <row r="215">
      <c r="A215" s="8"/>
      <c r="B215" s="8"/>
      <c r="C215" s="8"/>
      <c r="D215" s="42"/>
      <c r="E215" s="42"/>
      <c r="F215" s="42"/>
      <c r="G215" s="42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</row>
    <row r="216">
      <c r="A216" s="8"/>
      <c r="B216" s="8"/>
      <c r="C216" s="8"/>
      <c r="D216" s="42"/>
      <c r="E216" s="42"/>
      <c r="F216" s="42"/>
      <c r="G216" s="42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</row>
    <row r="217">
      <c r="A217" s="8"/>
      <c r="B217" s="8"/>
      <c r="C217" s="8"/>
      <c r="D217" s="42"/>
      <c r="E217" s="42"/>
      <c r="F217" s="42"/>
      <c r="G217" s="42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</row>
    <row r="218">
      <c r="A218" s="8"/>
      <c r="B218" s="8"/>
      <c r="C218" s="8"/>
      <c r="D218" s="42"/>
      <c r="E218" s="42"/>
      <c r="F218" s="42"/>
      <c r="G218" s="42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</row>
    <row r="219">
      <c r="A219" s="8"/>
      <c r="B219" s="8"/>
      <c r="C219" s="8"/>
      <c r="D219" s="42"/>
      <c r="E219" s="42"/>
      <c r="F219" s="42"/>
      <c r="G219" s="42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</row>
    <row r="220">
      <c r="A220" s="8"/>
      <c r="B220" s="8"/>
      <c r="C220" s="8"/>
      <c r="D220" s="42"/>
      <c r="E220" s="42"/>
      <c r="F220" s="42"/>
      <c r="G220" s="42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</row>
    <row r="221">
      <c r="A221" s="8"/>
      <c r="B221" s="8"/>
      <c r="C221" s="8"/>
      <c r="D221" s="42"/>
      <c r="E221" s="42"/>
      <c r="F221" s="42"/>
      <c r="G221" s="42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</row>
    <row r="222">
      <c r="A222" s="8"/>
      <c r="B222" s="8"/>
      <c r="C222" s="8"/>
      <c r="D222" s="42"/>
      <c r="E222" s="42"/>
      <c r="F222" s="42"/>
      <c r="G222" s="42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</row>
    <row r="223">
      <c r="A223" s="8"/>
      <c r="B223" s="8"/>
      <c r="C223" s="8"/>
      <c r="D223" s="42"/>
      <c r="E223" s="42"/>
      <c r="F223" s="42"/>
      <c r="G223" s="42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</row>
    <row r="224">
      <c r="A224" s="8"/>
      <c r="B224" s="8"/>
      <c r="C224" s="8"/>
      <c r="D224" s="42"/>
      <c r="E224" s="42"/>
      <c r="F224" s="42"/>
      <c r="G224" s="42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</row>
    <row r="225">
      <c r="A225" s="8"/>
      <c r="B225" s="8"/>
      <c r="C225" s="8"/>
      <c r="D225" s="42"/>
      <c r="E225" s="42"/>
      <c r="F225" s="42"/>
      <c r="G225" s="42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</row>
    <row r="226">
      <c r="A226" s="8"/>
      <c r="B226" s="8"/>
      <c r="C226" s="8"/>
      <c r="D226" s="42"/>
      <c r="E226" s="42"/>
      <c r="F226" s="42"/>
      <c r="G226" s="42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</row>
    <row r="227">
      <c r="A227" s="8"/>
      <c r="B227" s="8"/>
      <c r="C227" s="8"/>
      <c r="D227" s="42"/>
      <c r="E227" s="42"/>
      <c r="F227" s="42"/>
      <c r="G227" s="42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</row>
    <row r="228">
      <c r="A228" s="8"/>
      <c r="B228" s="8"/>
      <c r="C228" s="8"/>
      <c r="D228" s="42"/>
      <c r="E228" s="42"/>
      <c r="F228" s="42"/>
      <c r="G228" s="42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</row>
    <row r="229">
      <c r="A229" s="8"/>
      <c r="B229" s="8"/>
      <c r="C229" s="8"/>
      <c r="D229" s="42"/>
      <c r="E229" s="42"/>
      <c r="F229" s="42"/>
      <c r="G229" s="42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</row>
    <row r="230">
      <c r="A230" s="8"/>
      <c r="B230" s="8"/>
      <c r="C230" s="8"/>
      <c r="D230" s="42"/>
      <c r="E230" s="42"/>
      <c r="F230" s="42"/>
      <c r="G230" s="42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</row>
    <row r="231">
      <c r="A231" s="8"/>
      <c r="B231" s="8"/>
      <c r="C231" s="8"/>
      <c r="D231" s="42"/>
      <c r="E231" s="42"/>
      <c r="F231" s="42"/>
      <c r="G231" s="42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</row>
    <row r="232">
      <c r="A232" s="8"/>
      <c r="B232" s="8"/>
      <c r="C232" s="8"/>
      <c r="D232" s="42"/>
      <c r="E232" s="42"/>
      <c r="F232" s="42"/>
      <c r="G232" s="42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</row>
    <row r="233">
      <c r="A233" s="8"/>
      <c r="B233" s="8"/>
      <c r="C233" s="8"/>
      <c r="D233" s="42"/>
      <c r="E233" s="42"/>
      <c r="F233" s="42"/>
      <c r="G233" s="42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</row>
    <row r="234">
      <c r="A234" s="8"/>
      <c r="B234" s="8"/>
      <c r="C234" s="8"/>
      <c r="D234" s="42"/>
      <c r="E234" s="42"/>
      <c r="F234" s="42"/>
      <c r="G234" s="42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</row>
    <row r="235">
      <c r="A235" s="8"/>
      <c r="B235" s="8"/>
      <c r="C235" s="8"/>
      <c r="D235" s="42"/>
      <c r="E235" s="42"/>
      <c r="F235" s="42"/>
      <c r="G235" s="42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</row>
    <row r="236">
      <c r="A236" s="8"/>
      <c r="B236" s="8"/>
      <c r="C236" s="8"/>
      <c r="D236" s="42"/>
      <c r="E236" s="42"/>
      <c r="F236" s="42"/>
      <c r="G236" s="42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</row>
    <row r="237">
      <c r="A237" s="8"/>
      <c r="B237" s="8"/>
      <c r="C237" s="8"/>
      <c r="D237" s="42"/>
      <c r="E237" s="42"/>
      <c r="F237" s="42"/>
      <c r="G237" s="42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</row>
    <row r="238">
      <c r="A238" s="8"/>
      <c r="B238" s="8"/>
      <c r="C238" s="8"/>
      <c r="D238" s="42"/>
      <c r="E238" s="42"/>
      <c r="F238" s="42"/>
      <c r="G238" s="42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</row>
    <row r="239">
      <c r="A239" s="8"/>
      <c r="B239" s="8"/>
      <c r="C239" s="8"/>
      <c r="D239" s="42"/>
      <c r="E239" s="42"/>
      <c r="F239" s="42"/>
      <c r="G239" s="42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</row>
    <row r="240">
      <c r="A240" s="8"/>
      <c r="B240" s="8"/>
      <c r="C240" s="8"/>
      <c r="D240" s="42"/>
      <c r="E240" s="42"/>
      <c r="F240" s="42"/>
      <c r="G240" s="42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</row>
    <row r="241">
      <c r="A241" s="8"/>
      <c r="B241" s="8"/>
      <c r="C241" s="8"/>
      <c r="D241" s="42"/>
      <c r="E241" s="42"/>
      <c r="F241" s="42"/>
      <c r="G241" s="42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</row>
    <row r="242">
      <c r="A242" s="8"/>
      <c r="B242" s="8"/>
      <c r="C242" s="8"/>
      <c r="D242" s="42"/>
      <c r="E242" s="42"/>
      <c r="F242" s="42"/>
      <c r="G242" s="42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</row>
    <row r="243">
      <c r="A243" s="8"/>
      <c r="B243" s="8"/>
      <c r="C243" s="8"/>
      <c r="D243" s="42"/>
      <c r="E243" s="42"/>
      <c r="F243" s="42"/>
      <c r="G243" s="42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</row>
    <row r="244">
      <c r="A244" s="8"/>
      <c r="B244" s="8"/>
      <c r="C244" s="8"/>
      <c r="D244" s="42"/>
      <c r="E244" s="42"/>
      <c r="F244" s="42"/>
      <c r="G244" s="42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</row>
    <row r="245">
      <c r="A245" s="8"/>
      <c r="B245" s="8"/>
      <c r="C245" s="8"/>
      <c r="D245" s="42"/>
      <c r="E245" s="42"/>
      <c r="F245" s="42"/>
      <c r="G245" s="42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</row>
    <row r="246">
      <c r="A246" s="8"/>
      <c r="B246" s="8"/>
      <c r="C246" s="8"/>
      <c r="D246" s="42"/>
      <c r="E246" s="42"/>
      <c r="F246" s="42"/>
      <c r="G246" s="42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</row>
    <row r="247">
      <c r="A247" s="8"/>
      <c r="B247" s="8"/>
      <c r="C247" s="8"/>
      <c r="D247" s="42"/>
      <c r="E247" s="42"/>
      <c r="F247" s="42"/>
      <c r="G247" s="42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</row>
    <row r="248">
      <c r="A248" s="8"/>
      <c r="B248" s="8"/>
      <c r="C248" s="8"/>
      <c r="D248" s="42"/>
      <c r="E248" s="42"/>
      <c r="F248" s="42"/>
      <c r="G248" s="42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</row>
    <row r="249">
      <c r="A249" s="8"/>
      <c r="B249" s="8"/>
      <c r="C249" s="8"/>
      <c r="D249" s="42"/>
      <c r="E249" s="42"/>
      <c r="F249" s="42"/>
      <c r="G249" s="42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</row>
    <row r="250">
      <c r="A250" s="8"/>
      <c r="B250" s="8"/>
      <c r="C250" s="8"/>
      <c r="D250" s="42"/>
      <c r="E250" s="42"/>
      <c r="F250" s="42"/>
      <c r="G250" s="42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</row>
    <row r="251">
      <c r="A251" s="8"/>
      <c r="B251" s="8"/>
      <c r="C251" s="8"/>
      <c r="D251" s="42"/>
      <c r="E251" s="42"/>
      <c r="F251" s="42"/>
      <c r="G251" s="42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</row>
    <row r="252">
      <c r="A252" s="8"/>
      <c r="B252" s="8"/>
      <c r="C252" s="8"/>
      <c r="D252" s="42"/>
      <c r="E252" s="42"/>
      <c r="F252" s="42"/>
      <c r="G252" s="42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</row>
    <row r="253">
      <c r="A253" s="8"/>
      <c r="B253" s="8"/>
      <c r="C253" s="8"/>
      <c r="D253" s="42"/>
      <c r="E253" s="42"/>
      <c r="F253" s="42"/>
      <c r="G253" s="42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</row>
    <row r="254">
      <c r="A254" s="8"/>
      <c r="B254" s="8"/>
      <c r="C254" s="8"/>
      <c r="D254" s="42"/>
      <c r="E254" s="42"/>
      <c r="F254" s="42"/>
      <c r="G254" s="42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</row>
    <row r="255">
      <c r="A255" s="8"/>
      <c r="B255" s="8"/>
      <c r="C255" s="8"/>
      <c r="D255" s="42"/>
      <c r="E255" s="42"/>
      <c r="F255" s="42"/>
      <c r="G255" s="42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</row>
    <row r="256">
      <c r="A256" s="8"/>
      <c r="B256" s="8"/>
      <c r="C256" s="8"/>
      <c r="D256" s="42"/>
      <c r="E256" s="42"/>
      <c r="F256" s="42"/>
      <c r="G256" s="42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</row>
    <row r="257">
      <c r="A257" s="8"/>
      <c r="B257" s="8"/>
      <c r="C257" s="8"/>
      <c r="D257" s="42"/>
      <c r="E257" s="42"/>
      <c r="F257" s="42"/>
      <c r="G257" s="42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</row>
    <row r="258">
      <c r="A258" s="8"/>
      <c r="B258" s="8"/>
      <c r="C258" s="8"/>
      <c r="D258" s="42"/>
      <c r="E258" s="42"/>
      <c r="F258" s="42"/>
      <c r="G258" s="42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</row>
    <row r="259">
      <c r="A259" s="8"/>
      <c r="B259" s="8"/>
      <c r="C259" s="8"/>
      <c r="D259" s="42"/>
      <c r="E259" s="42"/>
      <c r="F259" s="42"/>
      <c r="G259" s="42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</row>
    <row r="260">
      <c r="A260" s="8"/>
      <c r="B260" s="8"/>
      <c r="C260" s="8"/>
      <c r="D260" s="42"/>
      <c r="E260" s="42"/>
      <c r="F260" s="42"/>
      <c r="G260" s="42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</row>
    <row r="261">
      <c r="A261" s="8"/>
      <c r="B261" s="8"/>
      <c r="C261" s="8"/>
      <c r="D261" s="42"/>
      <c r="E261" s="42"/>
      <c r="F261" s="42"/>
      <c r="G261" s="42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</row>
    <row r="262">
      <c r="A262" s="8"/>
      <c r="B262" s="8"/>
      <c r="C262" s="8"/>
      <c r="D262" s="42"/>
      <c r="E262" s="42"/>
      <c r="F262" s="42"/>
      <c r="G262" s="42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</row>
    <row r="263">
      <c r="A263" s="8"/>
      <c r="B263" s="8"/>
      <c r="C263" s="8"/>
      <c r="D263" s="42"/>
      <c r="E263" s="42"/>
      <c r="F263" s="42"/>
      <c r="G263" s="42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</row>
    <row r="264">
      <c r="A264" s="8"/>
      <c r="B264" s="8"/>
      <c r="C264" s="8"/>
      <c r="D264" s="42"/>
      <c r="E264" s="42"/>
      <c r="F264" s="42"/>
      <c r="G264" s="42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</row>
    <row r="265">
      <c r="A265" s="8"/>
      <c r="B265" s="8"/>
      <c r="C265" s="8"/>
      <c r="D265" s="42"/>
      <c r="E265" s="42"/>
      <c r="F265" s="42"/>
      <c r="G265" s="42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</row>
    <row r="266">
      <c r="A266" s="8"/>
      <c r="B266" s="8"/>
      <c r="C266" s="8"/>
      <c r="D266" s="42"/>
      <c r="E266" s="42"/>
      <c r="F266" s="42"/>
      <c r="G266" s="42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</row>
    <row r="267">
      <c r="A267" s="8"/>
      <c r="B267" s="8"/>
      <c r="C267" s="8"/>
      <c r="D267" s="42"/>
      <c r="E267" s="42"/>
      <c r="F267" s="42"/>
      <c r="G267" s="42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</row>
    <row r="268">
      <c r="A268" s="8"/>
      <c r="B268" s="8"/>
      <c r="C268" s="8"/>
      <c r="D268" s="42"/>
      <c r="E268" s="42"/>
      <c r="F268" s="42"/>
      <c r="G268" s="42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</row>
    <row r="269">
      <c r="A269" s="8"/>
      <c r="B269" s="8"/>
      <c r="C269" s="8"/>
      <c r="D269" s="42"/>
      <c r="E269" s="42"/>
      <c r="F269" s="42"/>
      <c r="G269" s="42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</row>
    <row r="270">
      <c r="A270" s="8"/>
      <c r="B270" s="8"/>
      <c r="C270" s="8"/>
      <c r="D270" s="42"/>
      <c r="E270" s="42"/>
      <c r="F270" s="42"/>
      <c r="G270" s="42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</row>
    <row r="271">
      <c r="A271" s="8"/>
      <c r="B271" s="8"/>
      <c r="C271" s="8"/>
      <c r="D271" s="42"/>
      <c r="E271" s="42"/>
      <c r="F271" s="42"/>
      <c r="G271" s="42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</row>
    <row r="272">
      <c r="A272" s="8"/>
      <c r="B272" s="8"/>
      <c r="C272" s="8"/>
      <c r="D272" s="42"/>
      <c r="E272" s="42"/>
      <c r="F272" s="42"/>
      <c r="G272" s="42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</row>
    <row r="273">
      <c r="A273" s="8"/>
      <c r="B273" s="8"/>
      <c r="C273" s="8"/>
      <c r="D273" s="42"/>
      <c r="E273" s="42"/>
      <c r="F273" s="42"/>
      <c r="G273" s="42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</row>
    <row r="274">
      <c r="A274" s="8"/>
      <c r="B274" s="8"/>
      <c r="C274" s="8"/>
      <c r="D274" s="42"/>
      <c r="E274" s="42"/>
      <c r="F274" s="42"/>
      <c r="G274" s="42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</row>
    <row r="275">
      <c r="A275" s="8"/>
      <c r="B275" s="8"/>
      <c r="C275" s="8"/>
      <c r="D275" s="42"/>
      <c r="E275" s="42"/>
      <c r="F275" s="42"/>
      <c r="G275" s="42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</row>
    <row r="276">
      <c r="A276" s="8"/>
      <c r="B276" s="8"/>
      <c r="C276" s="8"/>
      <c r="D276" s="42"/>
      <c r="E276" s="42"/>
      <c r="F276" s="42"/>
      <c r="G276" s="42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</row>
    <row r="277">
      <c r="A277" s="8"/>
      <c r="B277" s="8"/>
      <c r="C277" s="8"/>
      <c r="D277" s="42"/>
      <c r="E277" s="42"/>
      <c r="F277" s="42"/>
      <c r="G277" s="42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</row>
    <row r="278">
      <c r="A278" s="8"/>
      <c r="B278" s="8"/>
      <c r="C278" s="8"/>
      <c r="D278" s="42"/>
      <c r="E278" s="42"/>
      <c r="F278" s="42"/>
      <c r="G278" s="42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</row>
    <row r="279">
      <c r="A279" s="8"/>
      <c r="B279" s="8"/>
      <c r="C279" s="8"/>
      <c r="D279" s="42"/>
      <c r="E279" s="42"/>
      <c r="F279" s="42"/>
      <c r="G279" s="42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</row>
    <row r="280">
      <c r="A280" s="8"/>
      <c r="B280" s="8"/>
      <c r="C280" s="8"/>
      <c r="D280" s="42"/>
      <c r="E280" s="42"/>
      <c r="F280" s="42"/>
      <c r="G280" s="42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</row>
    <row r="281">
      <c r="A281" s="8"/>
      <c r="B281" s="8"/>
      <c r="C281" s="8"/>
      <c r="D281" s="42"/>
      <c r="E281" s="42"/>
      <c r="F281" s="42"/>
      <c r="G281" s="42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</row>
    <row r="282">
      <c r="A282" s="8"/>
      <c r="B282" s="8"/>
      <c r="C282" s="8"/>
      <c r="D282" s="42"/>
      <c r="E282" s="42"/>
      <c r="F282" s="42"/>
      <c r="G282" s="42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</row>
    <row r="283">
      <c r="A283" s="8"/>
      <c r="B283" s="8"/>
      <c r="C283" s="8"/>
      <c r="D283" s="42"/>
      <c r="E283" s="42"/>
      <c r="F283" s="42"/>
      <c r="G283" s="42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</row>
    <row r="284">
      <c r="A284" s="8"/>
      <c r="B284" s="8"/>
      <c r="C284" s="8"/>
      <c r="D284" s="42"/>
      <c r="E284" s="42"/>
      <c r="F284" s="42"/>
      <c r="G284" s="42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</row>
    <row r="285">
      <c r="A285" s="8"/>
      <c r="B285" s="8"/>
      <c r="C285" s="8"/>
      <c r="D285" s="42"/>
      <c r="E285" s="42"/>
      <c r="F285" s="42"/>
      <c r="G285" s="42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</row>
    <row r="286">
      <c r="A286" s="8"/>
      <c r="B286" s="8"/>
      <c r="C286" s="8"/>
      <c r="D286" s="42"/>
      <c r="E286" s="42"/>
      <c r="F286" s="42"/>
      <c r="G286" s="42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</row>
    <row r="287">
      <c r="A287" s="8"/>
      <c r="B287" s="8"/>
      <c r="C287" s="8"/>
      <c r="D287" s="42"/>
      <c r="E287" s="42"/>
      <c r="F287" s="42"/>
      <c r="G287" s="42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</row>
    <row r="288">
      <c r="A288" s="8"/>
      <c r="B288" s="8"/>
      <c r="C288" s="8"/>
      <c r="D288" s="42"/>
      <c r="E288" s="42"/>
      <c r="F288" s="42"/>
      <c r="G288" s="42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</row>
    <row r="289">
      <c r="A289" s="8"/>
      <c r="B289" s="8"/>
      <c r="C289" s="8"/>
      <c r="D289" s="42"/>
      <c r="E289" s="42"/>
      <c r="F289" s="42"/>
      <c r="G289" s="42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</row>
    <row r="290">
      <c r="A290" s="8"/>
      <c r="B290" s="8"/>
      <c r="C290" s="8"/>
      <c r="D290" s="42"/>
      <c r="E290" s="42"/>
      <c r="F290" s="42"/>
      <c r="G290" s="42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</row>
    <row r="291">
      <c r="A291" s="8"/>
      <c r="B291" s="8"/>
      <c r="C291" s="8"/>
      <c r="D291" s="42"/>
      <c r="E291" s="42"/>
      <c r="F291" s="42"/>
      <c r="G291" s="42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</row>
    <row r="292">
      <c r="A292" s="8"/>
      <c r="B292" s="8"/>
      <c r="C292" s="8"/>
      <c r="D292" s="42"/>
      <c r="E292" s="42"/>
      <c r="F292" s="42"/>
      <c r="G292" s="42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</row>
    <row r="293">
      <c r="A293" s="8"/>
      <c r="B293" s="8"/>
      <c r="C293" s="8"/>
      <c r="D293" s="42"/>
      <c r="E293" s="42"/>
      <c r="F293" s="42"/>
      <c r="G293" s="42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</row>
    <row r="294">
      <c r="A294" s="8"/>
      <c r="B294" s="8"/>
      <c r="C294" s="8"/>
      <c r="D294" s="42"/>
      <c r="E294" s="42"/>
      <c r="F294" s="42"/>
      <c r="G294" s="42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</row>
    <row r="295">
      <c r="A295" s="8"/>
      <c r="B295" s="8"/>
      <c r="C295" s="8"/>
      <c r="D295" s="42"/>
      <c r="E295" s="42"/>
      <c r="F295" s="42"/>
      <c r="G295" s="42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</row>
    <row r="296">
      <c r="A296" s="8"/>
      <c r="B296" s="8"/>
      <c r="C296" s="8"/>
      <c r="D296" s="42"/>
      <c r="E296" s="42"/>
      <c r="F296" s="42"/>
      <c r="G296" s="42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</row>
    <row r="297">
      <c r="A297" s="8"/>
      <c r="B297" s="8"/>
      <c r="C297" s="8"/>
      <c r="D297" s="42"/>
      <c r="E297" s="42"/>
      <c r="F297" s="42"/>
      <c r="G297" s="42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</row>
    <row r="298">
      <c r="A298" s="8"/>
      <c r="B298" s="8"/>
      <c r="C298" s="8"/>
      <c r="D298" s="42"/>
      <c r="E298" s="42"/>
      <c r="F298" s="42"/>
      <c r="G298" s="42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</row>
    <row r="299">
      <c r="A299" s="8"/>
      <c r="B299" s="8"/>
      <c r="C299" s="8"/>
      <c r="D299" s="42"/>
      <c r="E299" s="42"/>
      <c r="F299" s="42"/>
      <c r="G299" s="42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</row>
    <row r="300">
      <c r="A300" s="8"/>
      <c r="B300" s="8"/>
      <c r="C300" s="8"/>
      <c r="D300" s="42"/>
      <c r="E300" s="42"/>
      <c r="F300" s="42"/>
      <c r="G300" s="42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</row>
    <row r="301">
      <c r="A301" s="8"/>
      <c r="B301" s="8"/>
      <c r="C301" s="8"/>
      <c r="D301" s="42"/>
      <c r="E301" s="42"/>
      <c r="F301" s="42"/>
      <c r="G301" s="42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</row>
    <row r="302">
      <c r="A302" s="8"/>
      <c r="B302" s="8"/>
      <c r="C302" s="8"/>
      <c r="D302" s="42"/>
      <c r="E302" s="42"/>
      <c r="F302" s="42"/>
      <c r="G302" s="42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</row>
    <row r="303">
      <c r="A303" s="8"/>
      <c r="B303" s="8"/>
      <c r="C303" s="8"/>
      <c r="D303" s="42"/>
      <c r="E303" s="42"/>
      <c r="F303" s="42"/>
      <c r="G303" s="42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</row>
    <row r="304">
      <c r="A304" s="8"/>
      <c r="B304" s="8"/>
      <c r="C304" s="8"/>
      <c r="D304" s="42"/>
      <c r="E304" s="42"/>
      <c r="F304" s="42"/>
      <c r="G304" s="42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</row>
    <row r="305">
      <c r="A305" s="8"/>
      <c r="B305" s="8"/>
      <c r="C305" s="8"/>
      <c r="D305" s="42"/>
      <c r="E305" s="42"/>
      <c r="F305" s="42"/>
      <c r="G305" s="42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</row>
    <row r="306">
      <c r="A306" s="8"/>
      <c r="B306" s="8"/>
      <c r="C306" s="8"/>
      <c r="D306" s="42"/>
      <c r="E306" s="42"/>
      <c r="F306" s="42"/>
      <c r="G306" s="42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</row>
    <row r="307">
      <c r="A307" s="8"/>
      <c r="B307" s="8"/>
      <c r="C307" s="8"/>
      <c r="D307" s="42"/>
      <c r="E307" s="42"/>
      <c r="F307" s="42"/>
      <c r="G307" s="42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</row>
    <row r="308">
      <c r="A308" s="8"/>
      <c r="B308" s="8"/>
      <c r="C308" s="8"/>
      <c r="D308" s="42"/>
      <c r="E308" s="42"/>
      <c r="F308" s="42"/>
      <c r="G308" s="42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</row>
    <row r="309">
      <c r="A309" s="8"/>
      <c r="B309" s="8"/>
      <c r="C309" s="8"/>
      <c r="D309" s="42"/>
      <c r="E309" s="42"/>
      <c r="F309" s="42"/>
      <c r="G309" s="42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</row>
    <row r="310">
      <c r="A310" s="8"/>
      <c r="B310" s="8"/>
      <c r="C310" s="8"/>
      <c r="D310" s="42"/>
      <c r="E310" s="42"/>
      <c r="F310" s="42"/>
      <c r="G310" s="42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</row>
    <row r="311">
      <c r="A311" s="8"/>
      <c r="B311" s="8"/>
      <c r="C311" s="8"/>
      <c r="D311" s="42"/>
      <c r="E311" s="42"/>
      <c r="F311" s="42"/>
      <c r="G311" s="42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</row>
    <row r="312">
      <c r="A312" s="8"/>
      <c r="B312" s="8"/>
      <c r="C312" s="8"/>
      <c r="D312" s="42"/>
      <c r="E312" s="42"/>
      <c r="F312" s="42"/>
      <c r="G312" s="42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</row>
    <row r="313">
      <c r="A313" s="8"/>
      <c r="B313" s="8"/>
      <c r="C313" s="8"/>
      <c r="D313" s="42"/>
      <c r="E313" s="42"/>
      <c r="F313" s="42"/>
      <c r="G313" s="42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</row>
    <row r="314">
      <c r="A314" s="8"/>
      <c r="B314" s="8"/>
      <c r="C314" s="8"/>
      <c r="D314" s="42"/>
      <c r="E314" s="42"/>
      <c r="F314" s="42"/>
      <c r="G314" s="42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</row>
    <row r="315">
      <c r="A315" s="8"/>
      <c r="B315" s="8"/>
      <c r="C315" s="8"/>
      <c r="D315" s="42"/>
      <c r="E315" s="42"/>
      <c r="F315" s="42"/>
      <c r="G315" s="42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</row>
    <row r="316">
      <c r="A316" s="8"/>
      <c r="B316" s="8"/>
      <c r="C316" s="8"/>
      <c r="D316" s="42"/>
      <c r="E316" s="42"/>
      <c r="F316" s="42"/>
      <c r="G316" s="42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</row>
    <row r="317">
      <c r="A317" s="8"/>
      <c r="B317" s="8"/>
      <c r="C317" s="8"/>
      <c r="D317" s="42"/>
      <c r="E317" s="42"/>
      <c r="F317" s="42"/>
      <c r="G317" s="42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</row>
    <row r="318">
      <c r="A318" s="8"/>
      <c r="B318" s="8"/>
      <c r="C318" s="8"/>
      <c r="D318" s="42"/>
      <c r="E318" s="42"/>
      <c r="F318" s="42"/>
      <c r="G318" s="42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</row>
    <row r="319">
      <c r="A319" s="8"/>
      <c r="B319" s="8"/>
      <c r="C319" s="8"/>
      <c r="D319" s="42"/>
      <c r="E319" s="42"/>
      <c r="F319" s="42"/>
      <c r="G319" s="42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</row>
    <row r="320">
      <c r="A320" s="8"/>
      <c r="B320" s="8"/>
      <c r="C320" s="8"/>
      <c r="D320" s="42"/>
      <c r="E320" s="42"/>
      <c r="F320" s="42"/>
      <c r="G320" s="42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</row>
    <row r="321">
      <c r="A321" s="8"/>
      <c r="B321" s="8"/>
      <c r="C321" s="8"/>
      <c r="D321" s="42"/>
      <c r="E321" s="42"/>
      <c r="F321" s="42"/>
      <c r="G321" s="42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</row>
    <row r="322">
      <c r="A322" s="8"/>
      <c r="B322" s="8"/>
      <c r="C322" s="8"/>
      <c r="D322" s="42"/>
      <c r="E322" s="42"/>
      <c r="F322" s="42"/>
      <c r="G322" s="42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</row>
    <row r="323">
      <c r="A323" s="8"/>
      <c r="B323" s="8"/>
      <c r="C323" s="8"/>
      <c r="D323" s="42"/>
      <c r="E323" s="42"/>
      <c r="F323" s="42"/>
      <c r="G323" s="42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</row>
    <row r="324">
      <c r="A324" s="8"/>
      <c r="B324" s="8"/>
      <c r="C324" s="8"/>
      <c r="D324" s="42"/>
      <c r="E324" s="42"/>
      <c r="F324" s="42"/>
      <c r="G324" s="42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</row>
    <row r="325">
      <c r="A325" s="8"/>
      <c r="B325" s="8"/>
      <c r="C325" s="8"/>
      <c r="D325" s="42"/>
      <c r="E325" s="42"/>
      <c r="F325" s="42"/>
      <c r="G325" s="42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</row>
    <row r="326">
      <c r="A326" s="8"/>
      <c r="B326" s="8"/>
      <c r="C326" s="8"/>
      <c r="D326" s="42"/>
      <c r="E326" s="42"/>
      <c r="F326" s="42"/>
      <c r="G326" s="42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</row>
    <row r="327">
      <c r="A327" s="8"/>
      <c r="B327" s="8"/>
      <c r="C327" s="8"/>
      <c r="D327" s="42"/>
      <c r="E327" s="42"/>
      <c r="F327" s="42"/>
      <c r="G327" s="42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</row>
    <row r="328">
      <c r="A328" s="8"/>
      <c r="B328" s="8"/>
      <c r="C328" s="8"/>
      <c r="D328" s="42"/>
      <c r="E328" s="42"/>
      <c r="F328" s="42"/>
      <c r="G328" s="42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</row>
    <row r="329">
      <c r="A329" s="8"/>
      <c r="B329" s="8"/>
      <c r="C329" s="8"/>
      <c r="D329" s="42"/>
      <c r="E329" s="42"/>
      <c r="F329" s="42"/>
      <c r="G329" s="42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</row>
    <row r="330">
      <c r="A330" s="8"/>
      <c r="B330" s="8"/>
      <c r="C330" s="8"/>
      <c r="D330" s="42"/>
      <c r="E330" s="42"/>
      <c r="F330" s="42"/>
      <c r="G330" s="42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</row>
    <row r="331">
      <c r="A331" s="8"/>
      <c r="B331" s="8"/>
      <c r="C331" s="8"/>
      <c r="D331" s="42"/>
      <c r="E331" s="42"/>
      <c r="F331" s="42"/>
      <c r="G331" s="42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</row>
    <row r="332">
      <c r="A332" s="8"/>
      <c r="B332" s="8"/>
      <c r="C332" s="8"/>
      <c r="D332" s="42"/>
      <c r="E332" s="42"/>
      <c r="F332" s="42"/>
      <c r="G332" s="42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</row>
    <row r="333">
      <c r="A333" s="8"/>
      <c r="B333" s="8"/>
      <c r="C333" s="8"/>
      <c r="D333" s="42"/>
      <c r="E333" s="42"/>
      <c r="F333" s="42"/>
      <c r="G333" s="42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</row>
    <row r="334">
      <c r="A334" s="8"/>
      <c r="B334" s="8"/>
      <c r="C334" s="8"/>
      <c r="D334" s="42"/>
      <c r="E334" s="42"/>
      <c r="F334" s="42"/>
      <c r="G334" s="42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</row>
    <row r="335">
      <c r="A335" s="8"/>
      <c r="B335" s="8"/>
      <c r="C335" s="8"/>
      <c r="D335" s="42"/>
      <c r="E335" s="42"/>
      <c r="F335" s="42"/>
      <c r="G335" s="42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</row>
    <row r="336">
      <c r="A336" s="8"/>
      <c r="B336" s="8"/>
      <c r="C336" s="8"/>
      <c r="D336" s="42"/>
      <c r="E336" s="42"/>
      <c r="F336" s="42"/>
      <c r="G336" s="42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</row>
    <row r="337">
      <c r="A337" s="8"/>
      <c r="B337" s="8"/>
      <c r="C337" s="8"/>
      <c r="D337" s="42"/>
      <c r="E337" s="42"/>
      <c r="F337" s="42"/>
      <c r="G337" s="42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</row>
    <row r="338">
      <c r="A338" s="8"/>
      <c r="B338" s="8"/>
      <c r="C338" s="8"/>
      <c r="D338" s="42"/>
      <c r="E338" s="42"/>
      <c r="F338" s="42"/>
      <c r="G338" s="42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</row>
    <row r="339">
      <c r="A339" s="8"/>
      <c r="B339" s="8"/>
      <c r="C339" s="8"/>
      <c r="D339" s="42"/>
      <c r="E339" s="42"/>
      <c r="F339" s="42"/>
      <c r="G339" s="42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</row>
    <row r="340">
      <c r="A340" s="8"/>
      <c r="B340" s="8"/>
      <c r="C340" s="8"/>
      <c r="D340" s="42"/>
      <c r="E340" s="42"/>
      <c r="F340" s="42"/>
      <c r="G340" s="42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</row>
    <row r="341">
      <c r="A341" s="8"/>
      <c r="B341" s="8"/>
      <c r="C341" s="8"/>
      <c r="D341" s="42"/>
      <c r="E341" s="42"/>
      <c r="F341" s="42"/>
      <c r="G341" s="42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</row>
    <row r="342">
      <c r="A342" s="8"/>
      <c r="B342" s="8"/>
      <c r="C342" s="8"/>
      <c r="D342" s="42"/>
      <c r="E342" s="42"/>
      <c r="F342" s="42"/>
      <c r="G342" s="42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</row>
    <row r="343">
      <c r="A343" s="8"/>
      <c r="B343" s="8"/>
      <c r="C343" s="8"/>
      <c r="D343" s="42"/>
      <c r="E343" s="42"/>
      <c r="F343" s="42"/>
      <c r="G343" s="42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</row>
    <row r="344">
      <c r="A344" s="8"/>
      <c r="B344" s="8"/>
      <c r="C344" s="8"/>
      <c r="D344" s="42"/>
      <c r="E344" s="42"/>
      <c r="F344" s="42"/>
      <c r="G344" s="42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</row>
    <row r="345">
      <c r="A345" s="8"/>
      <c r="B345" s="8"/>
      <c r="C345" s="8"/>
      <c r="D345" s="42"/>
      <c r="E345" s="42"/>
      <c r="F345" s="42"/>
      <c r="G345" s="42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</row>
    <row r="346">
      <c r="A346" s="8"/>
      <c r="B346" s="8"/>
      <c r="C346" s="8"/>
      <c r="D346" s="42"/>
      <c r="E346" s="42"/>
      <c r="F346" s="42"/>
      <c r="G346" s="42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</row>
    <row r="347">
      <c r="A347" s="8"/>
      <c r="B347" s="8"/>
      <c r="C347" s="8"/>
      <c r="D347" s="42"/>
      <c r="E347" s="42"/>
      <c r="F347" s="42"/>
      <c r="G347" s="42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</row>
    <row r="348">
      <c r="A348" s="8"/>
      <c r="B348" s="8"/>
      <c r="C348" s="8"/>
      <c r="D348" s="42"/>
      <c r="E348" s="42"/>
      <c r="F348" s="42"/>
      <c r="G348" s="42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</row>
    <row r="349">
      <c r="A349" s="8"/>
      <c r="B349" s="8"/>
      <c r="C349" s="8"/>
      <c r="D349" s="42"/>
      <c r="E349" s="42"/>
      <c r="F349" s="42"/>
      <c r="G349" s="42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</row>
    <row r="350">
      <c r="A350" s="8"/>
      <c r="B350" s="8"/>
      <c r="C350" s="8"/>
      <c r="D350" s="42"/>
      <c r="E350" s="42"/>
      <c r="F350" s="42"/>
      <c r="G350" s="42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</row>
    <row r="351">
      <c r="A351" s="8"/>
      <c r="B351" s="8"/>
      <c r="C351" s="8"/>
      <c r="D351" s="42"/>
      <c r="E351" s="42"/>
      <c r="F351" s="42"/>
      <c r="G351" s="42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</row>
    <row r="352">
      <c r="A352" s="8"/>
      <c r="B352" s="8"/>
      <c r="C352" s="8"/>
      <c r="D352" s="42"/>
      <c r="E352" s="42"/>
      <c r="F352" s="42"/>
      <c r="G352" s="42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</row>
    <row r="353">
      <c r="A353" s="8"/>
      <c r="B353" s="8"/>
      <c r="C353" s="8"/>
      <c r="D353" s="42"/>
      <c r="E353" s="42"/>
      <c r="F353" s="42"/>
      <c r="G353" s="42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</row>
    <row r="354">
      <c r="A354" s="8"/>
      <c r="B354" s="8"/>
      <c r="C354" s="8"/>
      <c r="D354" s="42"/>
      <c r="E354" s="42"/>
      <c r="F354" s="42"/>
      <c r="G354" s="42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</row>
    <row r="355">
      <c r="A355" s="8"/>
      <c r="B355" s="8"/>
      <c r="C355" s="8"/>
      <c r="D355" s="42"/>
      <c r="E355" s="42"/>
      <c r="F355" s="42"/>
      <c r="G355" s="42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</row>
    <row r="356">
      <c r="A356" s="8"/>
      <c r="B356" s="8"/>
      <c r="C356" s="8"/>
      <c r="D356" s="42"/>
      <c r="E356" s="42"/>
      <c r="F356" s="42"/>
      <c r="G356" s="42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</row>
    <row r="357">
      <c r="A357" s="8"/>
      <c r="B357" s="8"/>
      <c r="C357" s="8"/>
      <c r="D357" s="42"/>
      <c r="E357" s="42"/>
      <c r="F357" s="42"/>
      <c r="G357" s="42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</row>
    <row r="358">
      <c r="A358" s="8"/>
      <c r="B358" s="8"/>
      <c r="C358" s="8"/>
      <c r="D358" s="42"/>
      <c r="E358" s="42"/>
      <c r="F358" s="42"/>
      <c r="G358" s="42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</row>
    <row r="359">
      <c r="A359" s="8"/>
      <c r="B359" s="8"/>
      <c r="C359" s="8"/>
      <c r="D359" s="42"/>
      <c r="E359" s="42"/>
      <c r="F359" s="42"/>
      <c r="G359" s="42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</row>
    <row r="360">
      <c r="A360" s="8"/>
      <c r="B360" s="8"/>
      <c r="C360" s="8"/>
      <c r="D360" s="42"/>
      <c r="E360" s="42"/>
      <c r="F360" s="42"/>
      <c r="G360" s="42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</row>
    <row r="361">
      <c r="A361" s="8"/>
      <c r="B361" s="8"/>
      <c r="C361" s="8"/>
      <c r="D361" s="42"/>
      <c r="E361" s="42"/>
      <c r="F361" s="42"/>
      <c r="G361" s="42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</row>
    <row r="362">
      <c r="A362" s="8"/>
      <c r="B362" s="8"/>
      <c r="C362" s="8"/>
      <c r="D362" s="42"/>
      <c r="E362" s="42"/>
      <c r="F362" s="42"/>
      <c r="G362" s="42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</row>
    <row r="363">
      <c r="A363" s="8"/>
      <c r="B363" s="8"/>
      <c r="C363" s="8"/>
      <c r="D363" s="42"/>
      <c r="E363" s="42"/>
      <c r="F363" s="42"/>
      <c r="G363" s="42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</row>
    <row r="364">
      <c r="A364" s="8"/>
      <c r="B364" s="8"/>
      <c r="C364" s="8"/>
      <c r="D364" s="42"/>
      <c r="E364" s="42"/>
      <c r="F364" s="42"/>
      <c r="G364" s="42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</row>
    <row r="365">
      <c r="A365" s="8"/>
      <c r="B365" s="8"/>
      <c r="C365" s="8"/>
      <c r="D365" s="42"/>
      <c r="E365" s="42"/>
      <c r="F365" s="42"/>
      <c r="G365" s="42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</row>
    <row r="366">
      <c r="A366" s="8"/>
      <c r="B366" s="8"/>
      <c r="C366" s="8"/>
      <c r="D366" s="42"/>
      <c r="E366" s="42"/>
      <c r="F366" s="42"/>
      <c r="G366" s="42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</row>
    <row r="367">
      <c r="A367" s="8"/>
      <c r="B367" s="8"/>
      <c r="C367" s="8"/>
      <c r="D367" s="42"/>
      <c r="E367" s="42"/>
      <c r="F367" s="42"/>
      <c r="G367" s="42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</row>
    <row r="368">
      <c r="A368" s="8"/>
      <c r="B368" s="8"/>
      <c r="C368" s="8"/>
      <c r="D368" s="42"/>
      <c r="E368" s="42"/>
      <c r="F368" s="42"/>
      <c r="G368" s="42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</row>
    <row r="369">
      <c r="A369" s="8"/>
      <c r="B369" s="8"/>
      <c r="C369" s="8"/>
      <c r="D369" s="42"/>
      <c r="E369" s="42"/>
      <c r="F369" s="42"/>
      <c r="G369" s="42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</row>
    <row r="370">
      <c r="A370" s="8"/>
      <c r="B370" s="8"/>
      <c r="C370" s="8"/>
      <c r="D370" s="42"/>
      <c r="E370" s="42"/>
      <c r="F370" s="42"/>
      <c r="G370" s="42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</row>
    <row r="371">
      <c r="A371" s="8"/>
      <c r="B371" s="8"/>
      <c r="C371" s="8"/>
      <c r="D371" s="42"/>
      <c r="E371" s="42"/>
      <c r="F371" s="42"/>
      <c r="G371" s="42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</row>
    <row r="372">
      <c r="A372" s="8"/>
      <c r="B372" s="8"/>
      <c r="C372" s="8"/>
      <c r="D372" s="42"/>
      <c r="E372" s="42"/>
      <c r="F372" s="42"/>
      <c r="G372" s="42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</row>
    <row r="373">
      <c r="A373" s="8"/>
      <c r="B373" s="8"/>
      <c r="C373" s="8"/>
      <c r="D373" s="42"/>
      <c r="E373" s="42"/>
      <c r="F373" s="42"/>
      <c r="G373" s="42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</row>
    <row r="374">
      <c r="A374" s="8"/>
      <c r="B374" s="8"/>
      <c r="C374" s="8"/>
      <c r="D374" s="42"/>
      <c r="E374" s="42"/>
      <c r="F374" s="42"/>
      <c r="G374" s="42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</row>
    <row r="375">
      <c r="A375" s="8"/>
      <c r="B375" s="8"/>
      <c r="C375" s="8"/>
      <c r="D375" s="42"/>
      <c r="E375" s="42"/>
      <c r="F375" s="42"/>
      <c r="G375" s="42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</row>
    <row r="376">
      <c r="A376" s="8"/>
      <c r="B376" s="8"/>
      <c r="C376" s="8"/>
      <c r="D376" s="42"/>
      <c r="E376" s="42"/>
      <c r="F376" s="42"/>
      <c r="G376" s="42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</row>
    <row r="377">
      <c r="A377" s="8"/>
      <c r="B377" s="8"/>
      <c r="C377" s="8"/>
      <c r="D377" s="42"/>
      <c r="E377" s="42"/>
      <c r="F377" s="42"/>
      <c r="G377" s="42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</row>
    <row r="378">
      <c r="A378" s="8"/>
      <c r="B378" s="8"/>
      <c r="C378" s="8"/>
      <c r="D378" s="42"/>
      <c r="E378" s="42"/>
      <c r="F378" s="42"/>
      <c r="G378" s="42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</row>
    <row r="379">
      <c r="A379" s="8"/>
      <c r="B379" s="8"/>
      <c r="C379" s="8"/>
      <c r="D379" s="42"/>
      <c r="E379" s="42"/>
      <c r="F379" s="42"/>
      <c r="G379" s="42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</row>
    <row r="380">
      <c r="A380" s="8"/>
      <c r="B380" s="8"/>
      <c r="C380" s="8"/>
      <c r="D380" s="42"/>
      <c r="E380" s="42"/>
      <c r="F380" s="42"/>
      <c r="G380" s="42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</row>
    <row r="381">
      <c r="A381" s="8"/>
      <c r="B381" s="8"/>
      <c r="C381" s="8"/>
      <c r="D381" s="42"/>
      <c r="E381" s="42"/>
      <c r="F381" s="42"/>
      <c r="G381" s="42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</row>
    <row r="382">
      <c r="A382" s="8"/>
      <c r="B382" s="8"/>
      <c r="C382" s="8"/>
      <c r="D382" s="42"/>
      <c r="E382" s="42"/>
      <c r="F382" s="42"/>
      <c r="G382" s="42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</row>
    <row r="383">
      <c r="A383" s="8"/>
      <c r="B383" s="8"/>
      <c r="C383" s="8"/>
      <c r="D383" s="42"/>
      <c r="E383" s="42"/>
      <c r="F383" s="42"/>
      <c r="G383" s="42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</row>
    <row r="384">
      <c r="A384" s="8"/>
      <c r="B384" s="8"/>
      <c r="C384" s="8"/>
      <c r="D384" s="42"/>
      <c r="E384" s="42"/>
      <c r="F384" s="42"/>
      <c r="G384" s="42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</row>
    <row r="385">
      <c r="A385" s="8"/>
      <c r="B385" s="8"/>
      <c r="C385" s="8"/>
      <c r="D385" s="42"/>
      <c r="E385" s="42"/>
      <c r="F385" s="42"/>
      <c r="G385" s="42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</row>
    <row r="386">
      <c r="A386" s="8"/>
      <c r="B386" s="8"/>
      <c r="C386" s="8"/>
      <c r="D386" s="42"/>
      <c r="E386" s="42"/>
      <c r="F386" s="42"/>
      <c r="G386" s="42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</row>
    <row r="387">
      <c r="A387" s="8"/>
      <c r="B387" s="8"/>
      <c r="C387" s="8"/>
      <c r="D387" s="42"/>
      <c r="E387" s="42"/>
      <c r="F387" s="42"/>
      <c r="G387" s="42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</row>
    <row r="388">
      <c r="A388" s="8"/>
      <c r="B388" s="8"/>
      <c r="C388" s="8"/>
      <c r="D388" s="42"/>
      <c r="E388" s="42"/>
      <c r="F388" s="42"/>
      <c r="G388" s="42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</row>
    <row r="389">
      <c r="A389" s="8"/>
      <c r="B389" s="8"/>
      <c r="C389" s="8"/>
      <c r="D389" s="42"/>
      <c r="E389" s="42"/>
      <c r="F389" s="42"/>
      <c r="G389" s="42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</row>
    <row r="390">
      <c r="A390" s="8"/>
      <c r="B390" s="8"/>
      <c r="C390" s="8"/>
      <c r="D390" s="42"/>
      <c r="E390" s="42"/>
      <c r="F390" s="42"/>
      <c r="G390" s="42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</row>
    <row r="391">
      <c r="A391" s="8"/>
      <c r="B391" s="8"/>
      <c r="C391" s="8"/>
      <c r="D391" s="42"/>
      <c r="E391" s="42"/>
      <c r="F391" s="42"/>
      <c r="G391" s="42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</row>
    <row r="392">
      <c r="A392" s="8"/>
      <c r="B392" s="8"/>
      <c r="C392" s="8"/>
      <c r="D392" s="42"/>
      <c r="E392" s="42"/>
      <c r="F392" s="42"/>
      <c r="G392" s="42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</row>
    <row r="393">
      <c r="A393" s="8"/>
      <c r="B393" s="8"/>
      <c r="C393" s="8"/>
      <c r="D393" s="42"/>
      <c r="E393" s="42"/>
      <c r="F393" s="42"/>
      <c r="G393" s="42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</row>
    <row r="394">
      <c r="A394" s="8"/>
      <c r="B394" s="8"/>
      <c r="C394" s="8"/>
      <c r="D394" s="42"/>
      <c r="E394" s="42"/>
      <c r="F394" s="42"/>
      <c r="G394" s="42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</row>
    <row r="395">
      <c r="A395" s="8"/>
      <c r="B395" s="8"/>
      <c r="C395" s="8"/>
      <c r="D395" s="42"/>
      <c r="E395" s="42"/>
      <c r="F395" s="42"/>
      <c r="G395" s="42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</row>
    <row r="396">
      <c r="A396" s="8"/>
      <c r="B396" s="8"/>
      <c r="C396" s="8"/>
      <c r="D396" s="42"/>
      <c r="E396" s="42"/>
      <c r="F396" s="42"/>
      <c r="G396" s="42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</row>
    <row r="397">
      <c r="A397" s="8"/>
      <c r="B397" s="8"/>
      <c r="C397" s="8"/>
      <c r="D397" s="42"/>
      <c r="E397" s="42"/>
      <c r="F397" s="42"/>
      <c r="G397" s="42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</row>
    <row r="398">
      <c r="A398" s="8"/>
      <c r="B398" s="8"/>
      <c r="C398" s="8"/>
      <c r="D398" s="42"/>
      <c r="E398" s="42"/>
      <c r="F398" s="42"/>
      <c r="G398" s="42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</row>
    <row r="399">
      <c r="A399" s="8"/>
      <c r="B399" s="8"/>
      <c r="C399" s="8"/>
      <c r="D399" s="42"/>
      <c r="E399" s="42"/>
      <c r="F399" s="42"/>
      <c r="G399" s="42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</row>
    <row r="400">
      <c r="A400" s="8"/>
      <c r="B400" s="8"/>
      <c r="C400" s="8"/>
      <c r="D400" s="42"/>
      <c r="E400" s="42"/>
      <c r="F400" s="42"/>
      <c r="G400" s="42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</row>
    <row r="401">
      <c r="A401" s="8"/>
      <c r="B401" s="8"/>
      <c r="C401" s="8"/>
      <c r="D401" s="42"/>
      <c r="E401" s="42"/>
      <c r="F401" s="42"/>
      <c r="G401" s="42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</row>
    <row r="402">
      <c r="A402" s="8"/>
      <c r="B402" s="8"/>
      <c r="C402" s="8"/>
      <c r="D402" s="42"/>
      <c r="E402" s="42"/>
      <c r="F402" s="42"/>
      <c r="G402" s="42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</row>
    <row r="403">
      <c r="A403" s="8"/>
      <c r="B403" s="8"/>
      <c r="C403" s="8"/>
      <c r="D403" s="42"/>
      <c r="E403" s="42"/>
      <c r="F403" s="42"/>
      <c r="G403" s="42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</row>
    <row r="404">
      <c r="A404" s="8"/>
      <c r="B404" s="8"/>
      <c r="C404" s="8"/>
      <c r="D404" s="42"/>
      <c r="E404" s="42"/>
      <c r="F404" s="42"/>
      <c r="G404" s="42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</row>
    <row r="405">
      <c r="A405" s="8"/>
      <c r="B405" s="8"/>
      <c r="C405" s="8"/>
      <c r="D405" s="42"/>
      <c r="E405" s="42"/>
      <c r="F405" s="42"/>
      <c r="G405" s="42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</row>
    <row r="406">
      <c r="A406" s="8"/>
      <c r="B406" s="8"/>
      <c r="C406" s="8"/>
      <c r="D406" s="42"/>
      <c r="E406" s="42"/>
      <c r="F406" s="42"/>
      <c r="G406" s="42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</row>
    <row r="407">
      <c r="A407" s="8"/>
      <c r="B407" s="8"/>
      <c r="C407" s="8"/>
      <c r="D407" s="42"/>
      <c r="E407" s="42"/>
      <c r="F407" s="42"/>
      <c r="G407" s="42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</row>
    <row r="408">
      <c r="A408" s="8"/>
      <c r="B408" s="8"/>
      <c r="C408" s="8"/>
      <c r="D408" s="42"/>
      <c r="E408" s="42"/>
      <c r="F408" s="42"/>
      <c r="G408" s="42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</row>
    <row r="409">
      <c r="A409" s="8"/>
      <c r="B409" s="8"/>
      <c r="C409" s="8"/>
      <c r="D409" s="42"/>
      <c r="E409" s="42"/>
      <c r="F409" s="42"/>
      <c r="G409" s="42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</row>
    <row r="410">
      <c r="A410" s="8"/>
      <c r="B410" s="8"/>
      <c r="C410" s="8"/>
      <c r="D410" s="42"/>
      <c r="E410" s="42"/>
      <c r="F410" s="42"/>
      <c r="G410" s="42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</row>
    <row r="411">
      <c r="A411" s="8"/>
      <c r="B411" s="8"/>
      <c r="C411" s="8"/>
      <c r="D411" s="42"/>
      <c r="E411" s="42"/>
      <c r="F411" s="42"/>
      <c r="G411" s="42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</row>
    <row r="412">
      <c r="A412" s="8"/>
      <c r="B412" s="8"/>
      <c r="C412" s="8"/>
      <c r="D412" s="42"/>
      <c r="E412" s="42"/>
      <c r="F412" s="42"/>
      <c r="G412" s="42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</row>
    <row r="413">
      <c r="A413" s="8"/>
      <c r="B413" s="8"/>
      <c r="C413" s="8"/>
      <c r="D413" s="42"/>
      <c r="E413" s="42"/>
      <c r="F413" s="42"/>
      <c r="G413" s="42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</row>
    <row r="414">
      <c r="A414" s="8"/>
      <c r="B414" s="8"/>
      <c r="C414" s="8"/>
      <c r="D414" s="42"/>
      <c r="E414" s="42"/>
      <c r="F414" s="42"/>
      <c r="G414" s="42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</row>
    <row r="415">
      <c r="A415" s="8"/>
      <c r="B415" s="8"/>
      <c r="C415" s="8"/>
      <c r="D415" s="42"/>
      <c r="E415" s="42"/>
      <c r="F415" s="42"/>
      <c r="G415" s="42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</row>
    <row r="416">
      <c r="A416" s="8"/>
      <c r="B416" s="8"/>
      <c r="C416" s="8"/>
      <c r="D416" s="42"/>
      <c r="E416" s="42"/>
      <c r="F416" s="42"/>
      <c r="G416" s="42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</row>
    <row r="417">
      <c r="A417" s="8"/>
      <c r="B417" s="8"/>
      <c r="C417" s="8"/>
      <c r="D417" s="42"/>
      <c r="E417" s="42"/>
      <c r="F417" s="42"/>
      <c r="G417" s="42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</row>
    <row r="418">
      <c r="A418" s="8"/>
      <c r="B418" s="8"/>
      <c r="C418" s="8"/>
      <c r="D418" s="42"/>
      <c r="E418" s="42"/>
      <c r="F418" s="42"/>
      <c r="G418" s="42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</row>
    <row r="419">
      <c r="A419" s="8"/>
      <c r="B419" s="8"/>
      <c r="C419" s="8"/>
      <c r="D419" s="42"/>
      <c r="E419" s="42"/>
      <c r="F419" s="42"/>
      <c r="G419" s="42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</row>
    <row r="420">
      <c r="A420" s="8"/>
      <c r="B420" s="8"/>
      <c r="C420" s="8"/>
      <c r="D420" s="42"/>
      <c r="E420" s="42"/>
      <c r="F420" s="42"/>
      <c r="G420" s="42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</row>
    <row r="421">
      <c r="A421" s="8"/>
      <c r="B421" s="8"/>
      <c r="C421" s="8"/>
      <c r="D421" s="42"/>
      <c r="E421" s="42"/>
      <c r="F421" s="42"/>
      <c r="G421" s="42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</row>
    <row r="422">
      <c r="A422" s="8"/>
      <c r="B422" s="8"/>
      <c r="C422" s="8"/>
      <c r="D422" s="42"/>
      <c r="E422" s="42"/>
      <c r="F422" s="42"/>
      <c r="G422" s="42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</row>
    <row r="423">
      <c r="A423" s="8"/>
      <c r="B423" s="8"/>
      <c r="C423" s="8"/>
      <c r="D423" s="42"/>
      <c r="E423" s="42"/>
      <c r="F423" s="42"/>
      <c r="G423" s="42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</row>
    <row r="424">
      <c r="A424" s="8"/>
      <c r="B424" s="8"/>
      <c r="C424" s="8"/>
      <c r="D424" s="42"/>
      <c r="E424" s="42"/>
      <c r="F424" s="42"/>
      <c r="G424" s="42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</row>
    <row r="425">
      <c r="A425" s="8"/>
      <c r="B425" s="8"/>
      <c r="C425" s="8"/>
      <c r="D425" s="42"/>
      <c r="E425" s="42"/>
      <c r="F425" s="42"/>
      <c r="G425" s="42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</row>
    <row r="426">
      <c r="A426" s="8"/>
      <c r="B426" s="8"/>
      <c r="C426" s="8"/>
      <c r="D426" s="42"/>
      <c r="E426" s="42"/>
      <c r="F426" s="42"/>
      <c r="G426" s="42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</row>
    <row r="427">
      <c r="A427" s="8"/>
      <c r="B427" s="8"/>
      <c r="C427" s="8"/>
      <c r="D427" s="42"/>
      <c r="E427" s="42"/>
      <c r="F427" s="42"/>
      <c r="G427" s="42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</row>
    <row r="428">
      <c r="A428" s="8"/>
      <c r="B428" s="8"/>
      <c r="C428" s="8"/>
      <c r="D428" s="42"/>
      <c r="E428" s="42"/>
      <c r="F428" s="42"/>
      <c r="G428" s="42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</row>
    <row r="429">
      <c r="A429" s="8"/>
      <c r="B429" s="8"/>
      <c r="C429" s="8"/>
      <c r="D429" s="42"/>
      <c r="E429" s="42"/>
      <c r="F429" s="42"/>
      <c r="G429" s="42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</row>
    <row r="430">
      <c r="A430" s="8"/>
      <c r="B430" s="8"/>
      <c r="C430" s="8"/>
      <c r="D430" s="42"/>
      <c r="E430" s="42"/>
      <c r="F430" s="42"/>
      <c r="G430" s="42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</row>
    <row r="431">
      <c r="A431" s="8"/>
      <c r="B431" s="8"/>
      <c r="C431" s="8"/>
      <c r="D431" s="42"/>
      <c r="E431" s="42"/>
      <c r="F431" s="42"/>
      <c r="G431" s="42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</row>
    <row r="432">
      <c r="A432" s="8"/>
      <c r="B432" s="8"/>
      <c r="C432" s="8"/>
      <c r="D432" s="42"/>
      <c r="E432" s="42"/>
      <c r="F432" s="42"/>
      <c r="G432" s="42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</row>
    <row r="433">
      <c r="A433" s="8"/>
      <c r="B433" s="8"/>
      <c r="C433" s="8"/>
      <c r="D433" s="42"/>
      <c r="E433" s="42"/>
      <c r="F433" s="42"/>
      <c r="G433" s="42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</row>
    <row r="434">
      <c r="A434" s="8"/>
      <c r="B434" s="8"/>
      <c r="C434" s="8"/>
      <c r="D434" s="42"/>
      <c r="E434" s="42"/>
      <c r="F434" s="42"/>
      <c r="G434" s="42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</row>
    <row r="435">
      <c r="A435" s="8"/>
      <c r="B435" s="8"/>
      <c r="C435" s="8"/>
      <c r="D435" s="42"/>
      <c r="E435" s="42"/>
      <c r="F435" s="42"/>
      <c r="G435" s="42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</row>
    <row r="436">
      <c r="A436" s="8"/>
      <c r="B436" s="8"/>
      <c r="C436" s="8"/>
      <c r="D436" s="42"/>
      <c r="E436" s="42"/>
      <c r="F436" s="42"/>
      <c r="G436" s="42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</row>
    <row r="437">
      <c r="A437" s="8"/>
      <c r="B437" s="8"/>
      <c r="C437" s="8"/>
      <c r="D437" s="42"/>
      <c r="E437" s="42"/>
      <c r="F437" s="42"/>
      <c r="G437" s="42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</row>
    <row r="438">
      <c r="A438" s="8"/>
      <c r="B438" s="8"/>
      <c r="C438" s="8"/>
      <c r="D438" s="42"/>
      <c r="E438" s="42"/>
      <c r="F438" s="42"/>
      <c r="G438" s="42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</row>
    <row r="439">
      <c r="A439" s="8"/>
      <c r="B439" s="8"/>
      <c r="C439" s="8"/>
      <c r="D439" s="42"/>
      <c r="E439" s="42"/>
      <c r="F439" s="42"/>
      <c r="G439" s="42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</row>
    <row r="440">
      <c r="A440" s="8"/>
      <c r="B440" s="8"/>
      <c r="C440" s="8"/>
      <c r="D440" s="42"/>
      <c r="E440" s="42"/>
      <c r="F440" s="42"/>
      <c r="G440" s="42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</row>
    <row r="441">
      <c r="A441" s="8"/>
      <c r="B441" s="8"/>
      <c r="C441" s="8"/>
      <c r="D441" s="42"/>
      <c r="E441" s="42"/>
      <c r="F441" s="42"/>
      <c r="G441" s="42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</row>
    <row r="442">
      <c r="A442" s="8"/>
      <c r="B442" s="8"/>
      <c r="C442" s="8"/>
      <c r="D442" s="42"/>
      <c r="E442" s="42"/>
      <c r="F442" s="42"/>
      <c r="G442" s="42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</row>
    <row r="443">
      <c r="A443" s="8"/>
      <c r="B443" s="8"/>
      <c r="C443" s="8"/>
      <c r="D443" s="42"/>
      <c r="E443" s="42"/>
      <c r="F443" s="42"/>
      <c r="G443" s="42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</row>
    <row r="444">
      <c r="A444" s="8"/>
      <c r="B444" s="8"/>
      <c r="C444" s="8"/>
      <c r="D444" s="42"/>
      <c r="E444" s="42"/>
      <c r="F444" s="42"/>
      <c r="G444" s="42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</row>
    <row r="445">
      <c r="A445" s="8"/>
      <c r="B445" s="8"/>
      <c r="C445" s="8"/>
      <c r="D445" s="42"/>
      <c r="E445" s="42"/>
      <c r="F445" s="42"/>
      <c r="G445" s="42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</row>
    <row r="446">
      <c r="A446" s="8"/>
      <c r="B446" s="8"/>
      <c r="C446" s="8"/>
      <c r="D446" s="42"/>
      <c r="E446" s="42"/>
      <c r="F446" s="42"/>
      <c r="G446" s="42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</row>
    <row r="447">
      <c r="A447" s="8"/>
      <c r="B447" s="8"/>
      <c r="C447" s="8"/>
      <c r="D447" s="42"/>
      <c r="E447" s="42"/>
      <c r="F447" s="42"/>
      <c r="G447" s="42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</row>
    <row r="448">
      <c r="A448" s="8"/>
      <c r="B448" s="8"/>
      <c r="C448" s="8"/>
      <c r="D448" s="42"/>
      <c r="E448" s="42"/>
      <c r="F448" s="42"/>
      <c r="G448" s="42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</row>
    <row r="449">
      <c r="A449" s="8"/>
      <c r="B449" s="8"/>
      <c r="C449" s="8"/>
      <c r="D449" s="42"/>
      <c r="E449" s="42"/>
      <c r="F449" s="42"/>
      <c r="G449" s="42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</row>
    <row r="450">
      <c r="A450" s="8"/>
      <c r="B450" s="8"/>
      <c r="C450" s="8"/>
      <c r="D450" s="42"/>
      <c r="E450" s="42"/>
      <c r="F450" s="42"/>
      <c r="G450" s="42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</row>
    <row r="451">
      <c r="A451" s="8"/>
      <c r="B451" s="8"/>
      <c r="C451" s="8"/>
      <c r="D451" s="42"/>
      <c r="E451" s="42"/>
      <c r="F451" s="42"/>
      <c r="G451" s="42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</row>
    <row r="452">
      <c r="A452" s="8"/>
      <c r="B452" s="8"/>
      <c r="C452" s="8"/>
      <c r="D452" s="42"/>
      <c r="E452" s="42"/>
      <c r="F452" s="42"/>
      <c r="G452" s="42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</row>
    <row r="453">
      <c r="A453" s="8"/>
      <c r="B453" s="8"/>
      <c r="C453" s="8"/>
      <c r="D453" s="42"/>
      <c r="E453" s="42"/>
      <c r="F453" s="42"/>
      <c r="G453" s="42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</row>
    <row r="454">
      <c r="A454" s="8"/>
      <c r="B454" s="8"/>
      <c r="C454" s="8"/>
      <c r="D454" s="42"/>
      <c r="E454" s="42"/>
      <c r="F454" s="42"/>
      <c r="G454" s="42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</row>
    <row r="455">
      <c r="A455" s="8"/>
      <c r="B455" s="8"/>
      <c r="C455" s="8"/>
      <c r="D455" s="42"/>
      <c r="E455" s="42"/>
      <c r="F455" s="42"/>
      <c r="G455" s="42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</row>
    <row r="456">
      <c r="A456" s="8"/>
      <c r="B456" s="8"/>
      <c r="C456" s="8"/>
      <c r="D456" s="42"/>
      <c r="E456" s="42"/>
      <c r="F456" s="42"/>
      <c r="G456" s="42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</row>
    <row r="457">
      <c r="A457" s="8"/>
      <c r="B457" s="8"/>
      <c r="C457" s="8"/>
      <c r="D457" s="42"/>
      <c r="E457" s="42"/>
      <c r="F457" s="42"/>
      <c r="G457" s="42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</row>
    <row r="458">
      <c r="A458" s="8"/>
      <c r="B458" s="8"/>
      <c r="C458" s="8"/>
      <c r="D458" s="42"/>
      <c r="E458" s="42"/>
      <c r="F458" s="42"/>
      <c r="G458" s="42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</row>
    <row r="459">
      <c r="A459" s="8"/>
      <c r="B459" s="8"/>
      <c r="C459" s="8"/>
      <c r="D459" s="42"/>
      <c r="E459" s="42"/>
      <c r="F459" s="42"/>
      <c r="G459" s="42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</row>
    <row r="460">
      <c r="A460" s="8"/>
      <c r="B460" s="8"/>
      <c r="C460" s="8"/>
      <c r="D460" s="42"/>
      <c r="E460" s="42"/>
      <c r="F460" s="42"/>
      <c r="G460" s="42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</row>
    <row r="461">
      <c r="A461" s="8"/>
      <c r="B461" s="8"/>
      <c r="C461" s="8"/>
      <c r="D461" s="42"/>
      <c r="E461" s="42"/>
      <c r="F461" s="42"/>
      <c r="G461" s="42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</row>
    <row r="462">
      <c r="A462" s="8"/>
      <c r="B462" s="8"/>
      <c r="C462" s="8"/>
      <c r="D462" s="42"/>
      <c r="E462" s="42"/>
      <c r="F462" s="42"/>
      <c r="G462" s="42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</row>
    <row r="463">
      <c r="A463" s="8"/>
      <c r="B463" s="8"/>
      <c r="C463" s="8"/>
      <c r="D463" s="42"/>
      <c r="E463" s="42"/>
      <c r="F463" s="42"/>
      <c r="G463" s="42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</row>
    <row r="464">
      <c r="A464" s="8"/>
      <c r="B464" s="8"/>
      <c r="C464" s="8"/>
      <c r="D464" s="42"/>
      <c r="E464" s="42"/>
      <c r="F464" s="42"/>
      <c r="G464" s="42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</row>
    <row r="465">
      <c r="A465" s="8"/>
      <c r="B465" s="8"/>
      <c r="C465" s="8"/>
      <c r="D465" s="42"/>
      <c r="E465" s="42"/>
      <c r="F465" s="42"/>
      <c r="G465" s="42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</row>
    <row r="466">
      <c r="A466" s="8"/>
      <c r="B466" s="8"/>
      <c r="C466" s="8"/>
      <c r="D466" s="42"/>
      <c r="E466" s="42"/>
      <c r="F466" s="42"/>
      <c r="G466" s="42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</row>
    <row r="467">
      <c r="A467" s="8"/>
      <c r="B467" s="8"/>
      <c r="C467" s="8"/>
      <c r="D467" s="42"/>
      <c r="E467" s="42"/>
      <c r="F467" s="42"/>
      <c r="G467" s="42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</row>
    <row r="468">
      <c r="A468" s="8"/>
      <c r="B468" s="8"/>
      <c r="C468" s="8"/>
      <c r="D468" s="42"/>
      <c r="E468" s="42"/>
      <c r="F468" s="42"/>
      <c r="G468" s="42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</row>
    <row r="469">
      <c r="A469" s="8"/>
      <c r="B469" s="8"/>
      <c r="C469" s="8"/>
      <c r="D469" s="42"/>
      <c r="E469" s="42"/>
      <c r="F469" s="42"/>
      <c r="G469" s="42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</row>
    <row r="470">
      <c r="A470" s="8"/>
      <c r="B470" s="8"/>
      <c r="C470" s="8"/>
      <c r="D470" s="42"/>
      <c r="E470" s="42"/>
      <c r="F470" s="42"/>
      <c r="G470" s="42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</row>
    <row r="471">
      <c r="A471" s="8"/>
      <c r="B471" s="8"/>
      <c r="C471" s="8"/>
      <c r="D471" s="42"/>
      <c r="E471" s="42"/>
      <c r="F471" s="42"/>
      <c r="G471" s="42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</row>
    <row r="472">
      <c r="A472" s="8"/>
      <c r="B472" s="8"/>
      <c r="C472" s="8"/>
      <c r="D472" s="42"/>
      <c r="E472" s="42"/>
      <c r="F472" s="42"/>
      <c r="G472" s="42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</row>
    <row r="473">
      <c r="A473" s="8"/>
      <c r="B473" s="8"/>
      <c r="C473" s="8"/>
      <c r="D473" s="42"/>
      <c r="E473" s="42"/>
      <c r="F473" s="42"/>
      <c r="G473" s="42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</row>
    <row r="474">
      <c r="A474" s="8"/>
      <c r="B474" s="8"/>
      <c r="C474" s="8"/>
      <c r="D474" s="42"/>
      <c r="E474" s="42"/>
      <c r="F474" s="42"/>
      <c r="G474" s="42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</row>
    <row r="475">
      <c r="A475" s="8"/>
      <c r="B475" s="8"/>
      <c r="C475" s="8"/>
      <c r="D475" s="42"/>
      <c r="E475" s="42"/>
      <c r="F475" s="42"/>
      <c r="G475" s="42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</row>
    <row r="476">
      <c r="A476" s="8"/>
      <c r="B476" s="8"/>
      <c r="C476" s="8"/>
      <c r="D476" s="42"/>
      <c r="E476" s="42"/>
      <c r="F476" s="42"/>
      <c r="G476" s="42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</row>
    <row r="477">
      <c r="A477" s="8"/>
      <c r="B477" s="8"/>
      <c r="C477" s="8"/>
      <c r="D477" s="42"/>
      <c r="E477" s="42"/>
      <c r="F477" s="42"/>
      <c r="G477" s="42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</row>
    <row r="478">
      <c r="A478" s="8"/>
      <c r="B478" s="8"/>
      <c r="C478" s="8"/>
      <c r="D478" s="42"/>
      <c r="E478" s="42"/>
      <c r="F478" s="42"/>
      <c r="G478" s="42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</row>
    <row r="479">
      <c r="A479" s="8"/>
      <c r="B479" s="8"/>
      <c r="C479" s="8"/>
      <c r="D479" s="42"/>
      <c r="E479" s="42"/>
      <c r="F479" s="42"/>
      <c r="G479" s="42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</row>
    <row r="480">
      <c r="A480" s="8"/>
      <c r="B480" s="8"/>
      <c r="C480" s="8"/>
      <c r="D480" s="42"/>
      <c r="E480" s="42"/>
      <c r="F480" s="42"/>
      <c r="G480" s="42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</row>
    <row r="481">
      <c r="A481" s="8"/>
      <c r="B481" s="8"/>
      <c r="C481" s="8"/>
      <c r="D481" s="42"/>
      <c r="E481" s="42"/>
      <c r="F481" s="42"/>
      <c r="G481" s="42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</row>
    <row r="482">
      <c r="A482" s="8"/>
      <c r="B482" s="8"/>
      <c r="C482" s="8"/>
      <c r="D482" s="42"/>
      <c r="E482" s="42"/>
      <c r="F482" s="42"/>
      <c r="G482" s="42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</row>
    <row r="483">
      <c r="A483" s="8"/>
      <c r="B483" s="8"/>
      <c r="C483" s="8"/>
      <c r="D483" s="42"/>
      <c r="E483" s="42"/>
      <c r="F483" s="42"/>
      <c r="G483" s="42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</row>
    <row r="484">
      <c r="A484" s="8"/>
      <c r="B484" s="8"/>
      <c r="C484" s="8"/>
      <c r="D484" s="42"/>
      <c r="E484" s="42"/>
      <c r="F484" s="42"/>
      <c r="G484" s="42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</row>
    <row r="485">
      <c r="A485" s="8"/>
      <c r="B485" s="8"/>
      <c r="C485" s="8"/>
      <c r="D485" s="42"/>
      <c r="E485" s="42"/>
      <c r="F485" s="42"/>
      <c r="G485" s="42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</row>
    <row r="486">
      <c r="A486" s="8"/>
      <c r="B486" s="8"/>
      <c r="C486" s="8"/>
      <c r="D486" s="42"/>
      <c r="E486" s="42"/>
      <c r="F486" s="42"/>
      <c r="G486" s="42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</row>
    <row r="487">
      <c r="A487" s="8"/>
      <c r="B487" s="8"/>
      <c r="C487" s="8"/>
      <c r="D487" s="42"/>
      <c r="E487" s="42"/>
      <c r="F487" s="42"/>
      <c r="G487" s="42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</row>
    <row r="488">
      <c r="A488" s="8"/>
      <c r="B488" s="8"/>
      <c r="C488" s="8"/>
      <c r="D488" s="42"/>
      <c r="E488" s="42"/>
      <c r="F488" s="42"/>
      <c r="G488" s="42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</row>
    <row r="489">
      <c r="A489" s="8"/>
      <c r="B489" s="8"/>
      <c r="C489" s="8"/>
      <c r="D489" s="42"/>
      <c r="E489" s="42"/>
      <c r="F489" s="42"/>
      <c r="G489" s="42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</row>
    <row r="490">
      <c r="A490" s="8"/>
      <c r="B490" s="8"/>
      <c r="C490" s="8"/>
      <c r="D490" s="42"/>
      <c r="E490" s="42"/>
      <c r="F490" s="42"/>
      <c r="G490" s="42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</row>
    <row r="491">
      <c r="A491" s="8"/>
      <c r="B491" s="8"/>
      <c r="C491" s="8"/>
      <c r="D491" s="42"/>
      <c r="E491" s="42"/>
      <c r="F491" s="42"/>
      <c r="G491" s="42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</row>
    <row r="492">
      <c r="A492" s="8"/>
      <c r="B492" s="8"/>
      <c r="C492" s="8"/>
      <c r="D492" s="42"/>
      <c r="E492" s="42"/>
      <c r="F492" s="42"/>
      <c r="G492" s="42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</row>
    <row r="493">
      <c r="A493" s="8"/>
      <c r="B493" s="8"/>
      <c r="C493" s="8"/>
      <c r="D493" s="42"/>
      <c r="E493" s="42"/>
      <c r="F493" s="42"/>
      <c r="G493" s="42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</row>
    <row r="494">
      <c r="A494" s="8"/>
      <c r="B494" s="8"/>
      <c r="C494" s="8"/>
      <c r="D494" s="42"/>
      <c r="E494" s="42"/>
      <c r="F494" s="42"/>
      <c r="G494" s="42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</row>
    <row r="495">
      <c r="A495" s="8"/>
      <c r="B495" s="8"/>
      <c r="C495" s="8"/>
      <c r="D495" s="42"/>
      <c r="E495" s="42"/>
      <c r="F495" s="42"/>
      <c r="G495" s="42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</row>
    <row r="496">
      <c r="A496" s="8"/>
      <c r="B496" s="8"/>
      <c r="C496" s="8"/>
      <c r="D496" s="42"/>
      <c r="E496" s="42"/>
      <c r="F496" s="42"/>
      <c r="G496" s="42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</row>
    <row r="497">
      <c r="A497" s="8"/>
      <c r="B497" s="8"/>
      <c r="C497" s="8"/>
      <c r="D497" s="42"/>
      <c r="E497" s="42"/>
      <c r="F497" s="42"/>
      <c r="G497" s="42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</row>
    <row r="498">
      <c r="A498" s="8"/>
      <c r="B498" s="8"/>
      <c r="C498" s="8"/>
      <c r="D498" s="42"/>
      <c r="E498" s="42"/>
      <c r="F498" s="42"/>
      <c r="G498" s="42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</row>
    <row r="499">
      <c r="A499" s="8"/>
      <c r="B499" s="8"/>
      <c r="C499" s="8"/>
      <c r="D499" s="42"/>
      <c r="E499" s="42"/>
      <c r="F499" s="42"/>
      <c r="G499" s="42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</row>
    <row r="500">
      <c r="A500" s="8"/>
      <c r="B500" s="8"/>
      <c r="C500" s="8"/>
      <c r="D500" s="42"/>
      <c r="E500" s="42"/>
      <c r="F500" s="42"/>
      <c r="G500" s="42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</row>
    <row r="501">
      <c r="A501" s="8"/>
      <c r="B501" s="8"/>
      <c r="C501" s="8"/>
      <c r="D501" s="42"/>
      <c r="E501" s="42"/>
      <c r="F501" s="42"/>
      <c r="G501" s="42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</row>
    <row r="502">
      <c r="A502" s="8"/>
      <c r="B502" s="8"/>
      <c r="C502" s="8"/>
      <c r="D502" s="42"/>
      <c r="E502" s="42"/>
      <c r="F502" s="42"/>
      <c r="G502" s="42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</row>
    <row r="503">
      <c r="A503" s="8"/>
      <c r="B503" s="8"/>
      <c r="C503" s="8"/>
      <c r="D503" s="42"/>
      <c r="E503" s="42"/>
      <c r="F503" s="42"/>
      <c r="G503" s="42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</row>
    <row r="504">
      <c r="A504" s="8"/>
      <c r="B504" s="8"/>
      <c r="C504" s="8"/>
      <c r="D504" s="42"/>
      <c r="E504" s="42"/>
      <c r="F504" s="42"/>
      <c r="G504" s="42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</row>
    <row r="505">
      <c r="A505" s="8"/>
      <c r="B505" s="8"/>
      <c r="C505" s="8"/>
      <c r="D505" s="42"/>
      <c r="E505" s="42"/>
      <c r="F505" s="42"/>
      <c r="G505" s="42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</row>
    <row r="506">
      <c r="A506" s="8"/>
      <c r="B506" s="8"/>
      <c r="C506" s="8"/>
      <c r="D506" s="42"/>
      <c r="E506" s="42"/>
      <c r="F506" s="42"/>
      <c r="G506" s="42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</row>
    <row r="507">
      <c r="A507" s="8"/>
      <c r="B507" s="8"/>
      <c r="C507" s="8"/>
      <c r="D507" s="42"/>
      <c r="E507" s="42"/>
      <c r="F507" s="42"/>
      <c r="G507" s="42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</row>
    <row r="508">
      <c r="A508" s="8"/>
      <c r="B508" s="8"/>
      <c r="C508" s="8"/>
      <c r="D508" s="42"/>
      <c r="E508" s="42"/>
      <c r="F508" s="42"/>
      <c r="G508" s="42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</row>
    <row r="509">
      <c r="A509" s="8"/>
      <c r="B509" s="8"/>
      <c r="C509" s="8"/>
      <c r="D509" s="42"/>
      <c r="E509" s="42"/>
      <c r="F509" s="42"/>
      <c r="G509" s="42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</row>
    <row r="510">
      <c r="A510" s="8"/>
      <c r="B510" s="8"/>
      <c r="C510" s="8"/>
      <c r="D510" s="42"/>
      <c r="E510" s="42"/>
      <c r="F510" s="42"/>
      <c r="G510" s="42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</row>
    <row r="511">
      <c r="A511" s="8"/>
      <c r="B511" s="8"/>
      <c r="C511" s="8"/>
      <c r="D511" s="42"/>
      <c r="E511" s="42"/>
      <c r="F511" s="42"/>
      <c r="G511" s="42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</row>
    <row r="512">
      <c r="A512" s="8"/>
      <c r="B512" s="8"/>
      <c r="C512" s="8"/>
      <c r="D512" s="42"/>
      <c r="E512" s="42"/>
      <c r="F512" s="42"/>
      <c r="G512" s="42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</row>
    <row r="513">
      <c r="A513" s="8"/>
      <c r="B513" s="8"/>
      <c r="C513" s="8"/>
      <c r="D513" s="42"/>
      <c r="E513" s="42"/>
      <c r="F513" s="42"/>
      <c r="G513" s="42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</row>
    <row r="514">
      <c r="A514" s="8"/>
      <c r="B514" s="8"/>
      <c r="C514" s="8"/>
      <c r="D514" s="42"/>
      <c r="E514" s="42"/>
      <c r="F514" s="42"/>
      <c r="G514" s="42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</row>
    <row r="515">
      <c r="A515" s="8"/>
      <c r="B515" s="8"/>
      <c r="C515" s="8"/>
      <c r="D515" s="42"/>
      <c r="E515" s="42"/>
      <c r="F515" s="42"/>
      <c r="G515" s="42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</row>
    <row r="516">
      <c r="A516" s="8"/>
      <c r="B516" s="8"/>
      <c r="C516" s="8"/>
      <c r="D516" s="42"/>
      <c r="E516" s="42"/>
      <c r="F516" s="42"/>
      <c r="G516" s="42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</row>
    <row r="517">
      <c r="A517" s="8"/>
      <c r="B517" s="8"/>
      <c r="C517" s="8"/>
      <c r="D517" s="42"/>
      <c r="E517" s="42"/>
      <c r="F517" s="42"/>
      <c r="G517" s="42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</row>
    <row r="518">
      <c r="A518" s="8"/>
      <c r="B518" s="8"/>
      <c r="C518" s="8"/>
      <c r="D518" s="42"/>
      <c r="E518" s="42"/>
      <c r="F518" s="42"/>
      <c r="G518" s="42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</row>
    <row r="519">
      <c r="A519" s="8"/>
      <c r="B519" s="8"/>
      <c r="C519" s="8"/>
      <c r="D519" s="42"/>
      <c r="E519" s="42"/>
      <c r="F519" s="42"/>
      <c r="G519" s="42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</row>
    <row r="520">
      <c r="A520" s="8"/>
      <c r="B520" s="8"/>
      <c r="C520" s="8"/>
      <c r="D520" s="42"/>
      <c r="E520" s="42"/>
      <c r="F520" s="42"/>
      <c r="G520" s="42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</row>
    <row r="521">
      <c r="A521" s="8"/>
      <c r="B521" s="8"/>
      <c r="C521" s="8"/>
      <c r="D521" s="42"/>
      <c r="E521" s="42"/>
      <c r="F521" s="42"/>
      <c r="G521" s="42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</row>
    <row r="522">
      <c r="A522" s="8"/>
      <c r="B522" s="8"/>
      <c r="C522" s="8"/>
      <c r="D522" s="42"/>
      <c r="E522" s="42"/>
      <c r="F522" s="42"/>
      <c r="G522" s="42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</row>
    <row r="523">
      <c r="A523" s="8"/>
      <c r="B523" s="8"/>
      <c r="C523" s="8"/>
      <c r="D523" s="42"/>
      <c r="E523" s="42"/>
      <c r="F523" s="42"/>
      <c r="G523" s="42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</row>
    <row r="524">
      <c r="A524" s="8"/>
      <c r="B524" s="8"/>
      <c r="C524" s="8"/>
      <c r="D524" s="42"/>
      <c r="E524" s="42"/>
      <c r="F524" s="42"/>
      <c r="G524" s="42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</row>
    <row r="525">
      <c r="A525" s="8"/>
      <c r="B525" s="8"/>
      <c r="C525" s="8"/>
      <c r="D525" s="42"/>
      <c r="E525" s="42"/>
      <c r="F525" s="42"/>
      <c r="G525" s="42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</row>
    <row r="526">
      <c r="A526" s="8"/>
      <c r="B526" s="8"/>
      <c r="C526" s="8"/>
      <c r="D526" s="42"/>
      <c r="E526" s="42"/>
      <c r="F526" s="42"/>
      <c r="G526" s="42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</row>
    <row r="527">
      <c r="A527" s="8"/>
      <c r="B527" s="8"/>
      <c r="C527" s="8"/>
      <c r="D527" s="42"/>
      <c r="E527" s="42"/>
      <c r="F527" s="42"/>
      <c r="G527" s="42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</row>
    <row r="528">
      <c r="A528" s="8"/>
      <c r="B528" s="8"/>
      <c r="C528" s="8"/>
      <c r="D528" s="42"/>
      <c r="E528" s="42"/>
      <c r="F528" s="42"/>
      <c r="G528" s="42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</row>
    <row r="529">
      <c r="A529" s="8"/>
      <c r="B529" s="8"/>
      <c r="C529" s="8"/>
      <c r="D529" s="42"/>
      <c r="E529" s="42"/>
      <c r="F529" s="42"/>
      <c r="G529" s="42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</row>
    <row r="530">
      <c r="A530" s="8"/>
      <c r="B530" s="8"/>
      <c r="C530" s="8"/>
      <c r="D530" s="42"/>
      <c r="E530" s="42"/>
      <c r="F530" s="42"/>
      <c r="G530" s="42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</row>
    <row r="531">
      <c r="A531" s="8"/>
      <c r="B531" s="8"/>
      <c r="C531" s="8"/>
      <c r="D531" s="42"/>
      <c r="E531" s="42"/>
      <c r="F531" s="42"/>
      <c r="G531" s="42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</row>
    <row r="532">
      <c r="A532" s="8"/>
      <c r="B532" s="8"/>
      <c r="C532" s="8"/>
      <c r="D532" s="42"/>
      <c r="E532" s="42"/>
      <c r="F532" s="42"/>
      <c r="G532" s="42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</row>
    <row r="533">
      <c r="A533" s="8"/>
      <c r="B533" s="8"/>
      <c r="C533" s="8"/>
      <c r="D533" s="42"/>
      <c r="E533" s="42"/>
      <c r="F533" s="42"/>
      <c r="G533" s="42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</row>
    <row r="534">
      <c r="A534" s="8"/>
      <c r="B534" s="8"/>
      <c r="C534" s="8"/>
      <c r="D534" s="42"/>
      <c r="E534" s="42"/>
      <c r="F534" s="42"/>
      <c r="G534" s="42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</row>
    <row r="535">
      <c r="A535" s="8"/>
      <c r="B535" s="8"/>
      <c r="C535" s="8"/>
      <c r="D535" s="42"/>
      <c r="E535" s="42"/>
      <c r="F535" s="42"/>
      <c r="G535" s="42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</row>
    <row r="536">
      <c r="A536" s="8"/>
      <c r="B536" s="8"/>
      <c r="C536" s="8"/>
      <c r="D536" s="42"/>
      <c r="E536" s="42"/>
      <c r="F536" s="42"/>
      <c r="G536" s="42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</row>
    <row r="537">
      <c r="A537" s="8"/>
      <c r="B537" s="8"/>
      <c r="C537" s="8"/>
      <c r="D537" s="42"/>
      <c r="E537" s="42"/>
      <c r="F537" s="42"/>
      <c r="G537" s="42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</row>
    <row r="538">
      <c r="A538" s="8"/>
      <c r="B538" s="8"/>
      <c r="C538" s="8"/>
      <c r="D538" s="42"/>
      <c r="E538" s="42"/>
      <c r="F538" s="42"/>
      <c r="G538" s="42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</row>
    <row r="539">
      <c r="A539" s="8"/>
      <c r="B539" s="8"/>
      <c r="C539" s="8"/>
      <c r="D539" s="42"/>
      <c r="E539" s="42"/>
      <c r="F539" s="42"/>
      <c r="G539" s="42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</row>
    <row r="540">
      <c r="A540" s="8"/>
      <c r="B540" s="8"/>
      <c r="C540" s="8"/>
      <c r="D540" s="42"/>
      <c r="E540" s="42"/>
      <c r="F540" s="42"/>
      <c r="G540" s="42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</row>
    <row r="541">
      <c r="A541" s="8"/>
      <c r="B541" s="8"/>
      <c r="C541" s="8"/>
      <c r="D541" s="42"/>
      <c r="E541" s="42"/>
      <c r="F541" s="42"/>
      <c r="G541" s="42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</row>
    <row r="542">
      <c r="A542" s="8"/>
      <c r="B542" s="8"/>
      <c r="C542" s="8"/>
      <c r="D542" s="42"/>
      <c r="E542" s="42"/>
      <c r="F542" s="42"/>
      <c r="G542" s="42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</row>
    <row r="543">
      <c r="A543" s="8"/>
      <c r="B543" s="8"/>
      <c r="C543" s="8"/>
      <c r="D543" s="42"/>
      <c r="E543" s="42"/>
      <c r="F543" s="42"/>
      <c r="G543" s="42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</row>
    <row r="544">
      <c r="A544" s="8"/>
      <c r="B544" s="8"/>
      <c r="C544" s="8"/>
      <c r="D544" s="42"/>
      <c r="E544" s="42"/>
      <c r="F544" s="42"/>
      <c r="G544" s="42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</row>
    <row r="545">
      <c r="A545" s="8"/>
      <c r="B545" s="8"/>
      <c r="C545" s="8"/>
      <c r="D545" s="42"/>
      <c r="E545" s="42"/>
      <c r="F545" s="42"/>
      <c r="G545" s="42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</row>
    <row r="546">
      <c r="A546" s="8"/>
      <c r="B546" s="8"/>
      <c r="C546" s="8"/>
      <c r="D546" s="42"/>
      <c r="E546" s="42"/>
      <c r="F546" s="42"/>
      <c r="G546" s="42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</row>
    <row r="547">
      <c r="A547" s="8"/>
      <c r="B547" s="8"/>
      <c r="C547" s="8"/>
      <c r="D547" s="42"/>
      <c r="E547" s="42"/>
      <c r="F547" s="42"/>
      <c r="G547" s="42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</row>
    <row r="548">
      <c r="A548" s="8"/>
      <c r="B548" s="8"/>
      <c r="C548" s="8"/>
      <c r="D548" s="42"/>
      <c r="E548" s="42"/>
      <c r="F548" s="42"/>
      <c r="G548" s="42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</row>
    <row r="549">
      <c r="A549" s="8"/>
      <c r="B549" s="8"/>
      <c r="C549" s="8"/>
      <c r="D549" s="42"/>
      <c r="E549" s="42"/>
      <c r="F549" s="42"/>
      <c r="G549" s="42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</row>
    <row r="550">
      <c r="A550" s="8"/>
      <c r="B550" s="8"/>
      <c r="C550" s="8"/>
      <c r="D550" s="42"/>
      <c r="E550" s="42"/>
      <c r="F550" s="42"/>
      <c r="G550" s="42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</row>
    <row r="551">
      <c r="A551" s="8"/>
      <c r="B551" s="8"/>
      <c r="C551" s="8"/>
      <c r="D551" s="42"/>
      <c r="E551" s="42"/>
      <c r="F551" s="42"/>
      <c r="G551" s="42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</row>
    <row r="552">
      <c r="A552" s="8"/>
      <c r="B552" s="8"/>
      <c r="C552" s="8"/>
      <c r="D552" s="42"/>
      <c r="E552" s="42"/>
      <c r="F552" s="42"/>
      <c r="G552" s="42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</row>
    <row r="553">
      <c r="A553" s="8"/>
      <c r="B553" s="8"/>
      <c r="C553" s="8"/>
      <c r="D553" s="42"/>
      <c r="E553" s="42"/>
      <c r="F553" s="42"/>
      <c r="G553" s="42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</row>
    <row r="554">
      <c r="A554" s="8"/>
      <c r="B554" s="8"/>
      <c r="C554" s="8"/>
      <c r="D554" s="42"/>
      <c r="E554" s="42"/>
      <c r="F554" s="42"/>
      <c r="G554" s="42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</row>
    <row r="555">
      <c r="A555" s="8"/>
      <c r="B555" s="8"/>
      <c r="C555" s="8"/>
      <c r="D555" s="42"/>
      <c r="E555" s="42"/>
      <c r="F555" s="42"/>
      <c r="G555" s="42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</row>
    <row r="556">
      <c r="A556" s="8"/>
      <c r="B556" s="8"/>
      <c r="C556" s="8"/>
      <c r="D556" s="42"/>
      <c r="E556" s="42"/>
      <c r="F556" s="42"/>
      <c r="G556" s="42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</row>
    <row r="557">
      <c r="A557" s="8"/>
      <c r="B557" s="8"/>
      <c r="C557" s="8"/>
      <c r="D557" s="42"/>
      <c r="E557" s="42"/>
      <c r="F557" s="42"/>
      <c r="G557" s="42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</row>
    <row r="558">
      <c r="A558" s="8"/>
      <c r="B558" s="8"/>
      <c r="C558" s="8"/>
      <c r="D558" s="42"/>
      <c r="E558" s="42"/>
      <c r="F558" s="42"/>
      <c r="G558" s="42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</row>
    <row r="559">
      <c r="A559" s="8"/>
      <c r="B559" s="8"/>
      <c r="C559" s="8"/>
      <c r="D559" s="42"/>
      <c r="E559" s="42"/>
      <c r="F559" s="42"/>
      <c r="G559" s="42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</row>
    <row r="560">
      <c r="A560" s="8"/>
      <c r="B560" s="8"/>
      <c r="C560" s="8"/>
      <c r="D560" s="42"/>
      <c r="E560" s="42"/>
      <c r="F560" s="42"/>
      <c r="G560" s="42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</row>
    <row r="561">
      <c r="A561" s="8"/>
      <c r="B561" s="8"/>
      <c r="C561" s="8"/>
      <c r="D561" s="42"/>
      <c r="E561" s="42"/>
      <c r="F561" s="42"/>
      <c r="G561" s="42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</row>
    <row r="562">
      <c r="A562" s="8"/>
      <c r="B562" s="8"/>
      <c r="C562" s="8"/>
      <c r="D562" s="42"/>
      <c r="E562" s="42"/>
      <c r="F562" s="42"/>
      <c r="G562" s="42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</row>
    <row r="563">
      <c r="A563" s="8"/>
      <c r="B563" s="8"/>
      <c r="C563" s="8"/>
      <c r="D563" s="42"/>
      <c r="E563" s="42"/>
      <c r="F563" s="42"/>
      <c r="G563" s="42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</row>
    <row r="564">
      <c r="A564" s="8"/>
      <c r="B564" s="8"/>
      <c r="C564" s="8"/>
      <c r="D564" s="42"/>
      <c r="E564" s="42"/>
      <c r="F564" s="42"/>
      <c r="G564" s="42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</row>
    <row r="565">
      <c r="A565" s="8"/>
      <c r="B565" s="8"/>
      <c r="C565" s="8"/>
      <c r="D565" s="42"/>
      <c r="E565" s="42"/>
      <c r="F565" s="42"/>
      <c r="G565" s="42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</row>
    <row r="566">
      <c r="A566" s="8"/>
      <c r="B566" s="8"/>
      <c r="C566" s="8"/>
      <c r="D566" s="42"/>
      <c r="E566" s="42"/>
      <c r="F566" s="42"/>
      <c r="G566" s="42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</row>
    <row r="567">
      <c r="A567" s="8"/>
      <c r="B567" s="8"/>
      <c r="C567" s="8"/>
      <c r="D567" s="42"/>
      <c r="E567" s="42"/>
      <c r="F567" s="42"/>
      <c r="G567" s="42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</row>
    <row r="568">
      <c r="A568" s="8"/>
      <c r="B568" s="8"/>
      <c r="C568" s="8"/>
      <c r="D568" s="42"/>
      <c r="E568" s="42"/>
      <c r="F568" s="42"/>
      <c r="G568" s="42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</row>
    <row r="569">
      <c r="A569" s="8"/>
      <c r="B569" s="8"/>
      <c r="C569" s="8"/>
      <c r="D569" s="42"/>
      <c r="E569" s="42"/>
      <c r="F569" s="42"/>
      <c r="G569" s="42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</row>
    <row r="570">
      <c r="A570" s="8"/>
      <c r="B570" s="8"/>
      <c r="C570" s="8"/>
      <c r="D570" s="42"/>
      <c r="E570" s="42"/>
      <c r="F570" s="42"/>
      <c r="G570" s="42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</row>
    <row r="571">
      <c r="A571" s="8"/>
      <c r="B571" s="8"/>
      <c r="C571" s="8"/>
      <c r="D571" s="42"/>
      <c r="E571" s="42"/>
      <c r="F571" s="42"/>
      <c r="G571" s="42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</row>
    <row r="572">
      <c r="A572" s="8"/>
      <c r="B572" s="8"/>
      <c r="C572" s="8"/>
      <c r="D572" s="42"/>
      <c r="E572" s="42"/>
      <c r="F572" s="42"/>
      <c r="G572" s="42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</row>
    <row r="573">
      <c r="A573" s="8"/>
      <c r="B573" s="8"/>
      <c r="C573" s="8"/>
      <c r="D573" s="42"/>
      <c r="E573" s="42"/>
      <c r="F573" s="42"/>
      <c r="G573" s="42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</row>
    <row r="574">
      <c r="A574" s="8"/>
      <c r="B574" s="8"/>
      <c r="C574" s="8"/>
      <c r="D574" s="42"/>
      <c r="E574" s="42"/>
      <c r="F574" s="42"/>
      <c r="G574" s="42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</row>
    <row r="575">
      <c r="A575" s="8"/>
      <c r="B575" s="8"/>
      <c r="C575" s="8"/>
      <c r="D575" s="42"/>
      <c r="E575" s="42"/>
      <c r="F575" s="42"/>
      <c r="G575" s="42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</row>
    <row r="576">
      <c r="A576" s="8"/>
      <c r="B576" s="8"/>
      <c r="C576" s="8"/>
      <c r="D576" s="42"/>
      <c r="E576" s="42"/>
      <c r="F576" s="42"/>
      <c r="G576" s="42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</row>
    <row r="577">
      <c r="A577" s="8"/>
      <c r="B577" s="8"/>
      <c r="C577" s="8"/>
      <c r="D577" s="42"/>
      <c r="E577" s="42"/>
      <c r="F577" s="42"/>
      <c r="G577" s="42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</row>
    <row r="578">
      <c r="A578" s="8"/>
      <c r="B578" s="8"/>
      <c r="C578" s="8"/>
      <c r="D578" s="42"/>
      <c r="E578" s="42"/>
      <c r="F578" s="42"/>
      <c r="G578" s="42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</row>
    <row r="579">
      <c r="A579" s="8"/>
      <c r="B579" s="8"/>
      <c r="C579" s="8"/>
      <c r="D579" s="42"/>
      <c r="E579" s="42"/>
      <c r="F579" s="42"/>
      <c r="G579" s="42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</row>
    <row r="580">
      <c r="A580" s="8"/>
      <c r="B580" s="8"/>
      <c r="C580" s="8"/>
      <c r="D580" s="42"/>
      <c r="E580" s="42"/>
      <c r="F580" s="42"/>
      <c r="G580" s="42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</row>
    <row r="581">
      <c r="A581" s="8"/>
      <c r="B581" s="8"/>
      <c r="C581" s="8"/>
      <c r="D581" s="42"/>
      <c r="E581" s="42"/>
      <c r="F581" s="42"/>
      <c r="G581" s="42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</row>
    <row r="582">
      <c r="A582" s="8"/>
      <c r="B582" s="8"/>
      <c r="C582" s="8"/>
      <c r="D582" s="42"/>
      <c r="E582" s="42"/>
      <c r="F582" s="42"/>
      <c r="G582" s="42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</row>
    <row r="583">
      <c r="A583" s="8"/>
      <c r="B583" s="8"/>
      <c r="C583" s="8"/>
      <c r="D583" s="42"/>
      <c r="E583" s="42"/>
      <c r="F583" s="42"/>
      <c r="G583" s="42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</row>
    <row r="584">
      <c r="A584" s="8"/>
      <c r="B584" s="8"/>
      <c r="C584" s="8"/>
      <c r="D584" s="42"/>
      <c r="E584" s="42"/>
      <c r="F584" s="42"/>
      <c r="G584" s="42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</row>
    <row r="585">
      <c r="A585" s="8"/>
      <c r="B585" s="8"/>
      <c r="C585" s="8"/>
      <c r="D585" s="42"/>
      <c r="E585" s="42"/>
      <c r="F585" s="42"/>
      <c r="G585" s="42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</row>
    <row r="586">
      <c r="A586" s="8"/>
      <c r="B586" s="8"/>
      <c r="C586" s="8"/>
      <c r="D586" s="42"/>
      <c r="E586" s="42"/>
      <c r="F586" s="42"/>
      <c r="G586" s="42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</row>
    <row r="587">
      <c r="A587" s="8"/>
      <c r="B587" s="8"/>
      <c r="C587" s="8"/>
      <c r="D587" s="42"/>
      <c r="E587" s="42"/>
      <c r="F587" s="42"/>
      <c r="G587" s="42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</row>
    <row r="588">
      <c r="A588" s="8"/>
      <c r="B588" s="8"/>
      <c r="C588" s="8"/>
      <c r="D588" s="42"/>
      <c r="E588" s="42"/>
      <c r="F588" s="42"/>
      <c r="G588" s="42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</row>
    <row r="589">
      <c r="A589" s="8"/>
      <c r="B589" s="8"/>
      <c r="C589" s="8"/>
      <c r="D589" s="42"/>
      <c r="E589" s="42"/>
      <c r="F589" s="42"/>
      <c r="G589" s="42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</row>
    <row r="590">
      <c r="A590" s="8"/>
      <c r="B590" s="8"/>
      <c r="C590" s="8"/>
      <c r="D590" s="42"/>
      <c r="E590" s="42"/>
      <c r="F590" s="42"/>
      <c r="G590" s="42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</row>
    <row r="591">
      <c r="A591" s="8"/>
      <c r="B591" s="8"/>
      <c r="C591" s="8"/>
      <c r="D591" s="42"/>
      <c r="E591" s="42"/>
      <c r="F591" s="42"/>
      <c r="G591" s="42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</row>
    <row r="592">
      <c r="A592" s="8"/>
      <c r="B592" s="8"/>
      <c r="C592" s="8"/>
      <c r="D592" s="42"/>
      <c r="E592" s="42"/>
      <c r="F592" s="42"/>
      <c r="G592" s="42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</row>
    <row r="593">
      <c r="A593" s="8"/>
      <c r="B593" s="8"/>
      <c r="C593" s="8"/>
      <c r="D593" s="42"/>
      <c r="E593" s="42"/>
      <c r="F593" s="42"/>
      <c r="G593" s="42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</row>
    <row r="594">
      <c r="A594" s="8"/>
      <c r="B594" s="8"/>
      <c r="C594" s="8"/>
      <c r="D594" s="42"/>
      <c r="E594" s="42"/>
      <c r="F594" s="42"/>
      <c r="G594" s="42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</row>
    <row r="595">
      <c r="A595" s="8"/>
      <c r="B595" s="8"/>
      <c r="C595" s="8"/>
      <c r="D595" s="42"/>
      <c r="E595" s="42"/>
      <c r="F595" s="42"/>
      <c r="G595" s="42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</row>
    <row r="596">
      <c r="A596" s="8"/>
      <c r="B596" s="8"/>
      <c r="C596" s="8"/>
      <c r="D596" s="42"/>
      <c r="E596" s="42"/>
      <c r="F596" s="42"/>
      <c r="G596" s="42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</row>
    <row r="597">
      <c r="A597" s="8"/>
      <c r="B597" s="8"/>
      <c r="C597" s="8"/>
      <c r="D597" s="42"/>
      <c r="E597" s="42"/>
      <c r="F597" s="42"/>
      <c r="G597" s="42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</row>
    <row r="598">
      <c r="A598" s="8"/>
      <c r="B598" s="8"/>
      <c r="C598" s="8"/>
      <c r="D598" s="42"/>
      <c r="E598" s="42"/>
      <c r="F598" s="42"/>
      <c r="G598" s="42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</row>
    <row r="599">
      <c r="A599" s="8"/>
      <c r="B599" s="8"/>
      <c r="C599" s="8"/>
      <c r="D599" s="42"/>
      <c r="E599" s="42"/>
      <c r="F599" s="42"/>
      <c r="G599" s="42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</row>
    <row r="600">
      <c r="A600" s="8"/>
      <c r="B600" s="8"/>
      <c r="C600" s="8"/>
      <c r="D600" s="42"/>
      <c r="E600" s="42"/>
      <c r="F600" s="42"/>
      <c r="G600" s="42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</row>
    <row r="601">
      <c r="A601" s="8"/>
      <c r="B601" s="8"/>
      <c r="C601" s="8"/>
      <c r="D601" s="42"/>
      <c r="E601" s="42"/>
      <c r="F601" s="42"/>
      <c r="G601" s="42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</row>
    <row r="602">
      <c r="A602" s="8"/>
      <c r="B602" s="8"/>
      <c r="C602" s="8"/>
      <c r="D602" s="42"/>
      <c r="E602" s="42"/>
      <c r="F602" s="42"/>
      <c r="G602" s="42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</row>
    <row r="603">
      <c r="A603" s="8"/>
      <c r="B603" s="8"/>
      <c r="C603" s="8"/>
      <c r="D603" s="42"/>
      <c r="E603" s="42"/>
      <c r="F603" s="42"/>
      <c r="G603" s="42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</row>
    <row r="604">
      <c r="A604" s="8"/>
      <c r="B604" s="8"/>
      <c r="C604" s="8"/>
      <c r="D604" s="42"/>
      <c r="E604" s="42"/>
      <c r="F604" s="42"/>
      <c r="G604" s="42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</row>
    <row r="605">
      <c r="A605" s="8"/>
      <c r="B605" s="8"/>
      <c r="C605" s="8"/>
      <c r="D605" s="42"/>
      <c r="E605" s="42"/>
      <c r="F605" s="42"/>
      <c r="G605" s="42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</row>
    <row r="606">
      <c r="A606" s="8"/>
      <c r="B606" s="8"/>
      <c r="C606" s="8"/>
      <c r="D606" s="42"/>
      <c r="E606" s="42"/>
      <c r="F606" s="42"/>
      <c r="G606" s="42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</row>
    <row r="607">
      <c r="A607" s="8"/>
      <c r="B607" s="8"/>
      <c r="C607" s="8"/>
      <c r="D607" s="42"/>
      <c r="E607" s="42"/>
      <c r="F607" s="42"/>
      <c r="G607" s="42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</row>
    <row r="608">
      <c r="A608" s="8"/>
      <c r="B608" s="8"/>
      <c r="C608" s="8"/>
      <c r="D608" s="42"/>
      <c r="E608" s="42"/>
      <c r="F608" s="42"/>
      <c r="G608" s="42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</row>
    <row r="609">
      <c r="A609" s="8"/>
      <c r="B609" s="8"/>
      <c r="C609" s="8"/>
      <c r="D609" s="42"/>
      <c r="E609" s="42"/>
      <c r="F609" s="42"/>
      <c r="G609" s="42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</row>
    <row r="610">
      <c r="A610" s="8"/>
      <c r="B610" s="8"/>
      <c r="C610" s="8"/>
      <c r="D610" s="42"/>
      <c r="E610" s="42"/>
      <c r="F610" s="42"/>
      <c r="G610" s="42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</row>
    <row r="611">
      <c r="A611" s="8"/>
      <c r="B611" s="8"/>
      <c r="C611" s="8"/>
      <c r="D611" s="42"/>
      <c r="E611" s="42"/>
      <c r="F611" s="42"/>
      <c r="G611" s="42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</row>
    <row r="612">
      <c r="A612" s="8"/>
      <c r="B612" s="8"/>
      <c r="C612" s="8"/>
      <c r="D612" s="42"/>
      <c r="E612" s="42"/>
      <c r="F612" s="42"/>
      <c r="G612" s="42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</row>
    <row r="613">
      <c r="A613" s="8"/>
      <c r="B613" s="8"/>
      <c r="C613" s="8"/>
      <c r="D613" s="42"/>
      <c r="E613" s="42"/>
      <c r="F613" s="42"/>
      <c r="G613" s="42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</row>
    <row r="614">
      <c r="A614" s="8"/>
      <c r="B614" s="8"/>
      <c r="C614" s="8"/>
      <c r="D614" s="42"/>
      <c r="E614" s="42"/>
      <c r="F614" s="42"/>
      <c r="G614" s="42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</row>
    <row r="615">
      <c r="A615" s="8"/>
      <c r="B615" s="8"/>
      <c r="C615" s="8"/>
      <c r="D615" s="42"/>
      <c r="E615" s="42"/>
      <c r="F615" s="42"/>
      <c r="G615" s="42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</row>
    <row r="616">
      <c r="A616" s="8"/>
      <c r="B616" s="8"/>
      <c r="C616" s="8"/>
      <c r="D616" s="42"/>
      <c r="E616" s="42"/>
      <c r="F616" s="42"/>
      <c r="G616" s="42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</row>
    <row r="617">
      <c r="A617" s="8"/>
      <c r="B617" s="8"/>
      <c r="C617" s="8"/>
      <c r="D617" s="42"/>
      <c r="E617" s="42"/>
      <c r="F617" s="42"/>
      <c r="G617" s="42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</row>
    <row r="618">
      <c r="A618" s="8"/>
      <c r="B618" s="8"/>
      <c r="C618" s="8"/>
      <c r="D618" s="42"/>
      <c r="E618" s="42"/>
      <c r="F618" s="42"/>
      <c r="G618" s="42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</row>
    <row r="619">
      <c r="A619" s="8"/>
      <c r="B619" s="8"/>
      <c r="C619" s="8"/>
      <c r="D619" s="42"/>
      <c r="E619" s="42"/>
      <c r="F619" s="42"/>
      <c r="G619" s="42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</row>
    <row r="620">
      <c r="A620" s="8"/>
      <c r="B620" s="8"/>
      <c r="C620" s="8"/>
      <c r="D620" s="42"/>
      <c r="E620" s="42"/>
      <c r="F620" s="42"/>
      <c r="G620" s="42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</row>
    <row r="621">
      <c r="A621" s="8"/>
      <c r="B621" s="8"/>
      <c r="C621" s="8"/>
      <c r="D621" s="42"/>
      <c r="E621" s="42"/>
      <c r="F621" s="42"/>
      <c r="G621" s="42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</row>
    <row r="622">
      <c r="A622" s="8"/>
      <c r="B622" s="8"/>
      <c r="C622" s="8"/>
      <c r="D622" s="42"/>
      <c r="E622" s="42"/>
      <c r="F622" s="42"/>
      <c r="G622" s="42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</row>
    <row r="623">
      <c r="A623" s="8"/>
      <c r="B623" s="8"/>
      <c r="C623" s="8"/>
      <c r="D623" s="42"/>
      <c r="E623" s="42"/>
      <c r="F623" s="42"/>
      <c r="G623" s="42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</row>
    <row r="624">
      <c r="A624" s="8"/>
      <c r="B624" s="8"/>
      <c r="C624" s="8"/>
      <c r="D624" s="42"/>
      <c r="E624" s="42"/>
      <c r="F624" s="42"/>
      <c r="G624" s="42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</row>
    <row r="625">
      <c r="A625" s="8"/>
      <c r="B625" s="8"/>
      <c r="C625" s="8"/>
      <c r="D625" s="42"/>
      <c r="E625" s="42"/>
      <c r="F625" s="42"/>
      <c r="G625" s="42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</row>
    <row r="626">
      <c r="A626" s="8"/>
      <c r="B626" s="8"/>
      <c r="C626" s="8"/>
      <c r="D626" s="42"/>
      <c r="E626" s="42"/>
      <c r="F626" s="42"/>
      <c r="G626" s="42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</row>
    <row r="627">
      <c r="A627" s="8"/>
      <c r="B627" s="8"/>
      <c r="C627" s="8"/>
      <c r="D627" s="42"/>
      <c r="E627" s="42"/>
      <c r="F627" s="42"/>
      <c r="G627" s="42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</row>
    <row r="628">
      <c r="A628" s="8"/>
      <c r="B628" s="8"/>
      <c r="C628" s="8"/>
      <c r="D628" s="42"/>
      <c r="E628" s="42"/>
      <c r="F628" s="42"/>
      <c r="G628" s="42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</row>
    <row r="629">
      <c r="A629" s="8"/>
      <c r="B629" s="8"/>
      <c r="C629" s="8"/>
      <c r="D629" s="42"/>
      <c r="E629" s="42"/>
      <c r="F629" s="42"/>
      <c r="G629" s="42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</row>
    <row r="630">
      <c r="A630" s="8"/>
      <c r="B630" s="8"/>
      <c r="C630" s="8"/>
      <c r="D630" s="42"/>
      <c r="E630" s="42"/>
      <c r="F630" s="42"/>
      <c r="G630" s="42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</row>
    <row r="631">
      <c r="A631" s="8"/>
      <c r="B631" s="8"/>
      <c r="C631" s="8"/>
      <c r="D631" s="42"/>
      <c r="E631" s="42"/>
      <c r="F631" s="42"/>
      <c r="G631" s="42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</row>
    <row r="632">
      <c r="A632" s="8"/>
      <c r="B632" s="8"/>
      <c r="C632" s="8"/>
      <c r="D632" s="42"/>
      <c r="E632" s="42"/>
      <c r="F632" s="42"/>
      <c r="G632" s="42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</row>
    <row r="633">
      <c r="A633" s="8"/>
      <c r="B633" s="8"/>
      <c r="C633" s="8"/>
      <c r="D633" s="42"/>
      <c r="E633" s="42"/>
      <c r="F633" s="42"/>
      <c r="G633" s="42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</row>
    <row r="634">
      <c r="A634" s="8"/>
      <c r="B634" s="8"/>
      <c r="C634" s="8"/>
      <c r="D634" s="42"/>
      <c r="E634" s="42"/>
      <c r="F634" s="42"/>
      <c r="G634" s="42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</row>
    <row r="635">
      <c r="A635" s="8"/>
      <c r="B635" s="8"/>
      <c r="C635" s="8"/>
      <c r="D635" s="42"/>
      <c r="E635" s="42"/>
      <c r="F635" s="42"/>
      <c r="G635" s="42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</row>
    <row r="636">
      <c r="A636" s="8"/>
      <c r="B636" s="8"/>
      <c r="C636" s="8"/>
      <c r="D636" s="42"/>
      <c r="E636" s="42"/>
      <c r="F636" s="42"/>
      <c r="G636" s="42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</row>
    <row r="637">
      <c r="A637" s="8"/>
      <c r="B637" s="8"/>
      <c r="C637" s="8"/>
      <c r="D637" s="42"/>
      <c r="E637" s="42"/>
      <c r="F637" s="42"/>
      <c r="G637" s="42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</row>
    <row r="638">
      <c r="A638" s="8"/>
      <c r="B638" s="8"/>
      <c r="C638" s="8"/>
      <c r="D638" s="42"/>
      <c r="E638" s="42"/>
      <c r="F638" s="42"/>
      <c r="G638" s="42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</row>
    <row r="639">
      <c r="A639" s="8"/>
      <c r="B639" s="8"/>
      <c r="C639" s="8"/>
      <c r="D639" s="42"/>
      <c r="E639" s="42"/>
      <c r="F639" s="42"/>
      <c r="G639" s="42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</row>
    <row r="640">
      <c r="A640" s="8"/>
      <c r="B640" s="8"/>
      <c r="C640" s="8"/>
      <c r="D640" s="42"/>
      <c r="E640" s="42"/>
      <c r="F640" s="42"/>
      <c r="G640" s="42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</row>
    <row r="641">
      <c r="A641" s="8"/>
      <c r="B641" s="8"/>
      <c r="C641" s="8"/>
      <c r="D641" s="42"/>
      <c r="E641" s="42"/>
      <c r="F641" s="42"/>
      <c r="G641" s="42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</row>
    <row r="642">
      <c r="A642" s="8"/>
      <c r="B642" s="8"/>
      <c r="C642" s="8"/>
      <c r="D642" s="42"/>
      <c r="E642" s="42"/>
      <c r="F642" s="42"/>
      <c r="G642" s="42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</row>
    <row r="643">
      <c r="A643" s="8"/>
      <c r="B643" s="8"/>
      <c r="C643" s="8"/>
      <c r="D643" s="42"/>
      <c r="E643" s="42"/>
      <c r="F643" s="42"/>
      <c r="G643" s="42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</row>
    <row r="644">
      <c r="A644" s="8"/>
      <c r="B644" s="8"/>
      <c r="C644" s="8"/>
      <c r="D644" s="42"/>
      <c r="E644" s="42"/>
      <c r="F644" s="42"/>
      <c r="G644" s="42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</row>
    <row r="645">
      <c r="A645" s="8"/>
      <c r="B645" s="8"/>
      <c r="C645" s="8"/>
      <c r="D645" s="42"/>
      <c r="E645" s="42"/>
      <c r="F645" s="42"/>
      <c r="G645" s="42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</row>
    <row r="646">
      <c r="A646" s="8"/>
      <c r="B646" s="8"/>
      <c r="C646" s="8"/>
      <c r="D646" s="42"/>
      <c r="E646" s="42"/>
      <c r="F646" s="42"/>
      <c r="G646" s="42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</row>
    <row r="647">
      <c r="A647" s="8"/>
      <c r="B647" s="8"/>
      <c r="C647" s="8"/>
      <c r="D647" s="42"/>
      <c r="E647" s="42"/>
      <c r="F647" s="42"/>
      <c r="G647" s="42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</row>
    <row r="648">
      <c r="A648" s="8"/>
      <c r="B648" s="8"/>
      <c r="C648" s="8"/>
      <c r="D648" s="42"/>
      <c r="E648" s="42"/>
      <c r="F648" s="42"/>
      <c r="G648" s="42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</row>
    <row r="649">
      <c r="A649" s="8"/>
      <c r="B649" s="8"/>
      <c r="C649" s="8"/>
      <c r="D649" s="42"/>
      <c r="E649" s="42"/>
      <c r="F649" s="42"/>
      <c r="G649" s="42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</row>
    <row r="650">
      <c r="A650" s="8"/>
      <c r="B650" s="8"/>
      <c r="C650" s="8"/>
      <c r="D650" s="42"/>
      <c r="E650" s="42"/>
      <c r="F650" s="42"/>
      <c r="G650" s="42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</row>
    <row r="651">
      <c r="A651" s="8"/>
      <c r="B651" s="8"/>
      <c r="C651" s="8"/>
      <c r="D651" s="42"/>
      <c r="E651" s="42"/>
      <c r="F651" s="42"/>
      <c r="G651" s="42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</row>
    <row r="652">
      <c r="A652" s="8"/>
      <c r="B652" s="8"/>
      <c r="C652" s="8"/>
      <c r="D652" s="42"/>
      <c r="E652" s="42"/>
      <c r="F652" s="42"/>
      <c r="G652" s="42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</row>
    <row r="653">
      <c r="A653" s="8"/>
      <c r="B653" s="8"/>
      <c r="C653" s="8"/>
      <c r="D653" s="42"/>
      <c r="E653" s="42"/>
      <c r="F653" s="42"/>
      <c r="G653" s="42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</row>
    <row r="654">
      <c r="A654" s="8"/>
      <c r="B654" s="8"/>
      <c r="C654" s="8"/>
      <c r="D654" s="42"/>
      <c r="E654" s="42"/>
      <c r="F654" s="42"/>
      <c r="G654" s="42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</row>
    <row r="655">
      <c r="A655" s="8"/>
      <c r="B655" s="8"/>
      <c r="C655" s="8"/>
      <c r="D655" s="42"/>
      <c r="E655" s="42"/>
      <c r="F655" s="42"/>
      <c r="G655" s="42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</row>
    <row r="656">
      <c r="A656" s="8"/>
      <c r="B656" s="8"/>
      <c r="C656" s="8"/>
      <c r="D656" s="42"/>
      <c r="E656" s="42"/>
      <c r="F656" s="42"/>
      <c r="G656" s="42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</row>
    <row r="657">
      <c r="A657" s="8"/>
      <c r="B657" s="8"/>
      <c r="C657" s="8"/>
      <c r="D657" s="42"/>
      <c r="E657" s="42"/>
      <c r="F657" s="42"/>
      <c r="G657" s="42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</row>
    <row r="658">
      <c r="A658" s="8"/>
      <c r="B658" s="8"/>
      <c r="C658" s="8"/>
      <c r="D658" s="42"/>
      <c r="E658" s="42"/>
      <c r="F658" s="42"/>
      <c r="G658" s="42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</row>
    <row r="659">
      <c r="A659" s="8"/>
      <c r="B659" s="8"/>
      <c r="C659" s="8"/>
      <c r="D659" s="42"/>
      <c r="E659" s="42"/>
      <c r="F659" s="42"/>
      <c r="G659" s="42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</row>
    <row r="660">
      <c r="A660" s="8"/>
      <c r="B660" s="8"/>
      <c r="C660" s="8"/>
      <c r="D660" s="42"/>
      <c r="E660" s="42"/>
      <c r="F660" s="42"/>
      <c r="G660" s="42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</row>
    <row r="661">
      <c r="A661" s="8"/>
      <c r="B661" s="8"/>
      <c r="C661" s="8"/>
      <c r="D661" s="42"/>
      <c r="E661" s="42"/>
      <c r="F661" s="42"/>
      <c r="G661" s="42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</row>
    <row r="662">
      <c r="A662" s="8"/>
      <c r="B662" s="8"/>
      <c r="C662" s="8"/>
      <c r="D662" s="42"/>
      <c r="E662" s="42"/>
      <c r="F662" s="42"/>
      <c r="G662" s="42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</row>
    <row r="663">
      <c r="A663" s="8"/>
      <c r="B663" s="8"/>
      <c r="C663" s="8"/>
      <c r="D663" s="42"/>
      <c r="E663" s="42"/>
      <c r="F663" s="42"/>
      <c r="G663" s="42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</row>
    <row r="664">
      <c r="A664" s="8"/>
      <c r="B664" s="8"/>
      <c r="C664" s="8"/>
      <c r="D664" s="42"/>
      <c r="E664" s="42"/>
      <c r="F664" s="42"/>
      <c r="G664" s="42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</row>
    <row r="665">
      <c r="A665" s="8"/>
      <c r="B665" s="8"/>
      <c r="C665" s="8"/>
      <c r="D665" s="42"/>
      <c r="E665" s="42"/>
      <c r="F665" s="42"/>
      <c r="G665" s="42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</row>
    <row r="666">
      <c r="A666" s="8"/>
      <c r="B666" s="8"/>
      <c r="C666" s="8"/>
      <c r="D666" s="42"/>
      <c r="E666" s="42"/>
      <c r="F666" s="42"/>
      <c r="G666" s="42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</row>
    <row r="667">
      <c r="A667" s="8"/>
      <c r="B667" s="8"/>
      <c r="C667" s="8"/>
      <c r="D667" s="42"/>
      <c r="E667" s="42"/>
      <c r="F667" s="42"/>
      <c r="G667" s="42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</row>
    <row r="668">
      <c r="A668" s="8"/>
      <c r="B668" s="8"/>
      <c r="C668" s="8"/>
      <c r="D668" s="42"/>
      <c r="E668" s="42"/>
      <c r="F668" s="42"/>
      <c r="G668" s="42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</row>
    <row r="669">
      <c r="A669" s="8"/>
      <c r="B669" s="8"/>
      <c r="C669" s="8"/>
      <c r="D669" s="42"/>
      <c r="E669" s="42"/>
      <c r="F669" s="42"/>
      <c r="G669" s="42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</row>
    <row r="670">
      <c r="A670" s="8"/>
      <c r="B670" s="8"/>
      <c r="C670" s="8"/>
      <c r="D670" s="42"/>
      <c r="E670" s="42"/>
      <c r="F670" s="42"/>
      <c r="G670" s="42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</row>
    <row r="671">
      <c r="A671" s="8"/>
      <c r="B671" s="8"/>
      <c r="C671" s="8"/>
      <c r="D671" s="42"/>
      <c r="E671" s="42"/>
      <c r="F671" s="42"/>
      <c r="G671" s="42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</row>
    <row r="672">
      <c r="A672" s="8"/>
      <c r="B672" s="8"/>
      <c r="C672" s="8"/>
      <c r="D672" s="42"/>
      <c r="E672" s="42"/>
      <c r="F672" s="42"/>
      <c r="G672" s="42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</row>
    <row r="673">
      <c r="A673" s="8"/>
      <c r="B673" s="8"/>
      <c r="C673" s="8"/>
      <c r="D673" s="42"/>
      <c r="E673" s="42"/>
      <c r="F673" s="42"/>
      <c r="G673" s="42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</row>
    <row r="674">
      <c r="A674" s="8"/>
      <c r="B674" s="8"/>
      <c r="C674" s="8"/>
      <c r="D674" s="42"/>
      <c r="E674" s="42"/>
      <c r="F674" s="42"/>
      <c r="G674" s="42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</row>
    <row r="675">
      <c r="A675" s="8"/>
      <c r="B675" s="8"/>
      <c r="C675" s="8"/>
      <c r="D675" s="42"/>
      <c r="E675" s="42"/>
      <c r="F675" s="42"/>
      <c r="G675" s="42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</row>
    <row r="676">
      <c r="A676" s="8"/>
      <c r="B676" s="8"/>
      <c r="C676" s="8"/>
      <c r="D676" s="42"/>
      <c r="E676" s="42"/>
      <c r="F676" s="42"/>
      <c r="G676" s="42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</row>
    <row r="677">
      <c r="A677" s="8"/>
      <c r="B677" s="8"/>
      <c r="C677" s="8"/>
      <c r="D677" s="42"/>
      <c r="E677" s="42"/>
      <c r="F677" s="42"/>
      <c r="G677" s="42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</row>
    <row r="678">
      <c r="A678" s="8"/>
      <c r="B678" s="8"/>
      <c r="C678" s="8"/>
      <c r="D678" s="42"/>
      <c r="E678" s="42"/>
      <c r="F678" s="42"/>
      <c r="G678" s="42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</row>
    <row r="679">
      <c r="A679" s="8"/>
      <c r="B679" s="8"/>
      <c r="C679" s="8"/>
      <c r="D679" s="42"/>
      <c r="E679" s="42"/>
      <c r="F679" s="42"/>
      <c r="G679" s="42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</row>
    <row r="680">
      <c r="A680" s="8"/>
      <c r="B680" s="8"/>
      <c r="C680" s="8"/>
      <c r="D680" s="42"/>
      <c r="E680" s="42"/>
      <c r="F680" s="42"/>
      <c r="G680" s="42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</row>
    <row r="681">
      <c r="A681" s="8"/>
      <c r="B681" s="8"/>
      <c r="C681" s="8"/>
      <c r="D681" s="42"/>
      <c r="E681" s="42"/>
      <c r="F681" s="42"/>
      <c r="G681" s="42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</row>
    <row r="682">
      <c r="A682" s="8"/>
      <c r="B682" s="8"/>
      <c r="C682" s="8"/>
      <c r="D682" s="42"/>
      <c r="E682" s="42"/>
      <c r="F682" s="42"/>
      <c r="G682" s="42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</row>
    <row r="683">
      <c r="A683" s="8"/>
      <c r="B683" s="8"/>
      <c r="C683" s="8"/>
      <c r="D683" s="42"/>
      <c r="E683" s="42"/>
      <c r="F683" s="42"/>
      <c r="G683" s="42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</row>
    <row r="684">
      <c r="A684" s="8"/>
      <c r="B684" s="8"/>
      <c r="C684" s="8"/>
      <c r="D684" s="42"/>
      <c r="E684" s="42"/>
      <c r="F684" s="42"/>
      <c r="G684" s="42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</row>
    <row r="685">
      <c r="A685" s="8"/>
      <c r="B685" s="8"/>
      <c r="C685" s="8"/>
      <c r="D685" s="42"/>
      <c r="E685" s="42"/>
      <c r="F685" s="42"/>
      <c r="G685" s="42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</row>
    <row r="686">
      <c r="A686" s="8"/>
      <c r="B686" s="8"/>
      <c r="C686" s="8"/>
      <c r="D686" s="42"/>
      <c r="E686" s="42"/>
      <c r="F686" s="42"/>
      <c r="G686" s="42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</row>
    <row r="687">
      <c r="A687" s="8"/>
      <c r="B687" s="8"/>
      <c r="C687" s="8"/>
      <c r="D687" s="42"/>
      <c r="E687" s="42"/>
      <c r="F687" s="42"/>
      <c r="G687" s="42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</row>
    <row r="688">
      <c r="A688" s="8"/>
      <c r="B688" s="8"/>
      <c r="C688" s="8"/>
      <c r="D688" s="42"/>
      <c r="E688" s="42"/>
      <c r="F688" s="42"/>
      <c r="G688" s="42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</row>
    <row r="689">
      <c r="A689" s="8"/>
      <c r="B689" s="8"/>
      <c r="C689" s="8"/>
      <c r="D689" s="42"/>
      <c r="E689" s="42"/>
      <c r="F689" s="42"/>
      <c r="G689" s="42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</row>
    <row r="690">
      <c r="A690" s="8"/>
      <c r="B690" s="8"/>
      <c r="C690" s="8"/>
      <c r="D690" s="42"/>
      <c r="E690" s="42"/>
      <c r="F690" s="42"/>
      <c r="G690" s="42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</row>
    <row r="691">
      <c r="A691" s="8"/>
      <c r="B691" s="8"/>
      <c r="C691" s="8"/>
      <c r="D691" s="42"/>
      <c r="E691" s="42"/>
      <c r="F691" s="42"/>
      <c r="G691" s="42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</row>
    <row r="692">
      <c r="A692" s="8"/>
      <c r="B692" s="8"/>
      <c r="C692" s="8"/>
      <c r="D692" s="42"/>
      <c r="E692" s="42"/>
      <c r="F692" s="42"/>
      <c r="G692" s="42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</row>
    <row r="693">
      <c r="A693" s="8"/>
      <c r="B693" s="8"/>
      <c r="C693" s="8"/>
      <c r="D693" s="42"/>
      <c r="E693" s="42"/>
      <c r="F693" s="42"/>
      <c r="G693" s="42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</row>
    <row r="694">
      <c r="A694" s="8"/>
      <c r="B694" s="8"/>
      <c r="C694" s="8"/>
      <c r="D694" s="42"/>
      <c r="E694" s="42"/>
      <c r="F694" s="42"/>
      <c r="G694" s="42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</row>
    <row r="695">
      <c r="A695" s="8"/>
      <c r="B695" s="8"/>
      <c r="C695" s="8"/>
      <c r="D695" s="42"/>
      <c r="E695" s="42"/>
      <c r="F695" s="42"/>
      <c r="G695" s="42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</row>
    <row r="696">
      <c r="A696" s="8"/>
      <c r="B696" s="8"/>
      <c r="C696" s="8"/>
      <c r="D696" s="42"/>
      <c r="E696" s="42"/>
      <c r="F696" s="42"/>
      <c r="G696" s="42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</row>
    <row r="697">
      <c r="A697" s="8"/>
      <c r="B697" s="8"/>
      <c r="C697" s="8"/>
      <c r="D697" s="42"/>
      <c r="E697" s="42"/>
      <c r="F697" s="42"/>
      <c r="G697" s="42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</row>
    <row r="698">
      <c r="A698" s="8"/>
      <c r="B698" s="8"/>
      <c r="C698" s="8"/>
      <c r="D698" s="42"/>
      <c r="E698" s="42"/>
      <c r="F698" s="42"/>
      <c r="G698" s="42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</row>
    <row r="699">
      <c r="A699" s="8"/>
      <c r="B699" s="8"/>
      <c r="C699" s="8"/>
      <c r="D699" s="42"/>
      <c r="E699" s="42"/>
      <c r="F699" s="42"/>
      <c r="G699" s="42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</row>
    <row r="700">
      <c r="A700" s="8"/>
      <c r="B700" s="8"/>
      <c r="C700" s="8"/>
      <c r="D700" s="42"/>
      <c r="E700" s="42"/>
      <c r="F700" s="42"/>
      <c r="G700" s="42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</row>
    <row r="701">
      <c r="A701" s="8"/>
      <c r="B701" s="8"/>
      <c r="C701" s="8"/>
      <c r="D701" s="42"/>
      <c r="E701" s="42"/>
      <c r="F701" s="42"/>
      <c r="G701" s="42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</row>
    <row r="702">
      <c r="A702" s="8"/>
      <c r="B702" s="8"/>
      <c r="C702" s="8"/>
      <c r="D702" s="42"/>
      <c r="E702" s="42"/>
      <c r="F702" s="42"/>
      <c r="G702" s="42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</row>
    <row r="703">
      <c r="A703" s="8"/>
      <c r="B703" s="8"/>
      <c r="C703" s="8"/>
      <c r="D703" s="42"/>
      <c r="E703" s="42"/>
      <c r="F703" s="42"/>
      <c r="G703" s="42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</row>
    <row r="704">
      <c r="A704" s="8"/>
      <c r="B704" s="8"/>
      <c r="C704" s="8"/>
      <c r="D704" s="42"/>
      <c r="E704" s="42"/>
      <c r="F704" s="42"/>
      <c r="G704" s="42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</row>
    <row r="705">
      <c r="A705" s="8"/>
      <c r="B705" s="8"/>
      <c r="C705" s="8"/>
      <c r="D705" s="42"/>
      <c r="E705" s="42"/>
      <c r="F705" s="42"/>
      <c r="G705" s="42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</row>
    <row r="706">
      <c r="A706" s="8"/>
      <c r="B706" s="8"/>
      <c r="C706" s="8"/>
      <c r="D706" s="42"/>
      <c r="E706" s="42"/>
      <c r="F706" s="42"/>
      <c r="G706" s="42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</row>
    <row r="707">
      <c r="A707" s="8"/>
      <c r="B707" s="8"/>
      <c r="C707" s="8"/>
      <c r="D707" s="42"/>
      <c r="E707" s="42"/>
      <c r="F707" s="42"/>
      <c r="G707" s="42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</row>
    <row r="708">
      <c r="A708" s="8"/>
      <c r="B708" s="8"/>
      <c r="C708" s="8"/>
      <c r="D708" s="42"/>
      <c r="E708" s="42"/>
      <c r="F708" s="42"/>
      <c r="G708" s="42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</row>
    <row r="709">
      <c r="A709" s="8"/>
      <c r="B709" s="8"/>
      <c r="C709" s="8"/>
      <c r="D709" s="42"/>
      <c r="E709" s="42"/>
      <c r="F709" s="42"/>
      <c r="G709" s="42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</row>
    <row r="710">
      <c r="A710" s="8"/>
      <c r="B710" s="8"/>
      <c r="C710" s="8"/>
      <c r="D710" s="42"/>
      <c r="E710" s="42"/>
      <c r="F710" s="42"/>
      <c r="G710" s="42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</row>
    <row r="711">
      <c r="A711" s="8"/>
      <c r="B711" s="8"/>
      <c r="C711" s="8"/>
      <c r="D711" s="42"/>
      <c r="E711" s="42"/>
      <c r="F711" s="42"/>
      <c r="G711" s="42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</row>
    <row r="712">
      <c r="A712" s="8"/>
      <c r="B712" s="8"/>
      <c r="C712" s="8"/>
      <c r="D712" s="42"/>
      <c r="E712" s="42"/>
      <c r="F712" s="42"/>
      <c r="G712" s="42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</row>
    <row r="713">
      <c r="A713" s="8"/>
      <c r="B713" s="8"/>
      <c r="C713" s="8"/>
      <c r="D713" s="42"/>
      <c r="E713" s="42"/>
      <c r="F713" s="42"/>
      <c r="G713" s="42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</row>
    <row r="714">
      <c r="A714" s="8"/>
      <c r="B714" s="8"/>
      <c r="C714" s="8"/>
      <c r="D714" s="42"/>
      <c r="E714" s="42"/>
      <c r="F714" s="42"/>
      <c r="G714" s="42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</row>
    <row r="715">
      <c r="A715" s="8"/>
      <c r="B715" s="8"/>
      <c r="C715" s="8"/>
      <c r="D715" s="42"/>
      <c r="E715" s="42"/>
      <c r="F715" s="42"/>
      <c r="G715" s="42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</row>
    <row r="716">
      <c r="A716" s="8"/>
      <c r="B716" s="8"/>
      <c r="C716" s="8"/>
      <c r="D716" s="42"/>
      <c r="E716" s="42"/>
      <c r="F716" s="42"/>
      <c r="G716" s="42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</row>
    <row r="717">
      <c r="A717" s="8"/>
      <c r="B717" s="8"/>
      <c r="C717" s="8"/>
      <c r="D717" s="42"/>
      <c r="E717" s="42"/>
      <c r="F717" s="42"/>
      <c r="G717" s="42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</row>
    <row r="718">
      <c r="A718" s="8"/>
      <c r="B718" s="8"/>
      <c r="C718" s="8"/>
      <c r="D718" s="42"/>
      <c r="E718" s="42"/>
      <c r="F718" s="42"/>
      <c r="G718" s="42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</row>
    <row r="719">
      <c r="A719" s="8"/>
      <c r="B719" s="8"/>
      <c r="C719" s="8"/>
      <c r="D719" s="42"/>
      <c r="E719" s="42"/>
      <c r="F719" s="42"/>
      <c r="G719" s="42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</row>
    <row r="720">
      <c r="A720" s="8"/>
      <c r="B720" s="8"/>
      <c r="C720" s="8"/>
      <c r="D720" s="42"/>
      <c r="E720" s="42"/>
      <c r="F720" s="42"/>
      <c r="G720" s="42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</row>
    <row r="721">
      <c r="A721" s="8"/>
      <c r="B721" s="8"/>
      <c r="C721" s="8"/>
      <c r="D721" s="42"/>
      <c r="E721" s="42"/>
      <c r="F721" s="42"/>
      <c r="G721" s="42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</row>
    <row r="722">
      <c r="A722" s="8"/>
      <c r="B722" s="8"/>
      <c r="C722" s="8"/>
      <c r="D722" s="42"/>
      <c r="E722" s="42"/>
      <c r="F722" s="42"/>
      <c r="G722" s="42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</row>
    <row r="723">
      <c r="A723" s="8"/>
      <c r="B723" s="8"/>
      <c r="C723" s="8"/>
      <c r="D723" s="42"/>
      <c r="E723" s="42"/>
      <c r="F723" s="42"/>
      <c r="G723" s="42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</row>
    <row r="724">
      <c r="A724" s="8"/>
      <c r="B724" s="8"/>
      <c r="C724" s="8"/>
      <c r="D724" s="42"/>
      <c r="E724" s="42"/>
      <c r="F724" s="42"/>
      <c r="G724" s="42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</row>
    <row r="725">
      <c r="A725" s="8"/>
      <c r="B725" s="8"/>
      <c r="C725" s="8"/>
      <c r="D725" s="42"/>
      <c r="E725" s="42"/>
      <c r="F725" s="42"/>
      <c r="G725" s="42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</row>
    <row r="726">
      <c r="A726" s="8"/>
      <c r="B726" s="8"/>
      <c r="C726" s="8"/>
      <c r="D726" s="42"/>
      <c r="E726" s="42"/>
      <c r="F726" s="42"/>
      <c r="G726" s="42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</row>
    <row r="727">
      <c r="A727" s="8"/>
      <c r="B727" s="8"/>
      <c r="C727" s="8"/>
      <c r="D727" s="42"/>
      <c r="E727" s="42"/>
      <c r="F727" s="42"/>
      <c r="G727" s="42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</row>
    <row r="728">
      <c r="A728" s="8"/>
      <c r="B728" s="8"/>
      <c r="C728" s="8"/>
      <c r="D728" s="42"/>
      <c r="E728" s="42"/>
      <c r="F728" s="42"/>
      <c r="G728" s="42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</row>
    <row r="729">
      <c r="A729" s="8"/>
      <c r="B729" s="8"/>
      <c r="C729" s="8"/>
      <c r="D729" s="42"/>
      <c r="E729" s="42"/>
      <c r="F729" s="42"/>
      <c r="G729" s="42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</row>
    <row r="730">
      <c r="A730" s="8"/>
      <c r="B730" s="8"/>
      <c r="C730" s="8"/>
      <c r="D730" s="42"/>
      <c r="E730" s="42"/>
      <c r="F730" s="42"/>
      <c r="G730" s="42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</row>
    <row r="731">
      <c r="A731" s="8"/>
      <c r="B731" s="8"/>
      <c r="C731" s="8"/>
      <c r="D731" s="42"/>
      <c r="E731" s="42"/>
      <c r="F731" s="42"/>
      <c r="G731" s="42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</row>
    <row r="732">
      <c r="A732" s="8"/>
      <c r="B732" s="8"/>
      <c r="C732" s="8"/>
      <c r="D732" s="42"/>
      <c r="E732" s="42"/>
      <c r="F732" s="42"/>
      <c r="G732" s="42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</row>
    <row r="733">
      <c r="A733" s="8"/>
      <c r="B733" s="8"/>
      <c r="C733" s="8"/>
      <c r="D733" s="42"/>
      <c r="E733" s="42"/>
      <c r="F733" s="42"/>
      <c r="G733" s="42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</row>
    <row r="734">
      <c r="A734" s="8"/>
      <c r="B734" s="8"/>
      <c r="C734" s="8"/>
      <c r="D734" s="42"/>
      <c r="E734" s="42"/>
      <c r="F734" s="42"/>
      <c r="G734" s="42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</row>
    <row r="735">
      <c r="A735" s="8"/>
      <c r="B735" s="8"/>
      <c r="C735" s="8"/>
      <c r="D735" s="42"/>
      <c r="E735" s="42"/>
      <c r="F735" s="42"/>
      <c r="G735" s="42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</row>
    <row r="736">
      <c r="A736" s="8"/>
      <c r="B736" s="8"/>
      <c r="C736" s="8"/>
      <c r="D736" s="42"/>
      <c r="E736" s="42"/>
      <c r="F736" s="42"/>
      <c r="G736" s="42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</row>
    <row r="737">
      <c r="A737" s="8"/>
      <c r="B737" s="8"/>
      <c r="C737" s="8"/>
      <c r="D737" s="42"/>
      <c r="E737" s="42"/>
      <c r="F737" s="42"/>
      <c r="G737" s="42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</row>
    <row r="738">
      <c r="A738" s="8"/>
      <c r="B738" s="8"/>
      <c r="C738" s="8"/>
      <c r="D738" s="42"/>
      <c r="E738" s="42"/>
      <c r="F738" s="42"/>
      <c r="G738" s="42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</row>
    <row r="739">
      <c r="A739" s="8"/>
      <c r="B739" s="8"/>
      <c r="C739" s="8"/>
      <c r="D739" s="42"/>
      <c r="E739" s="42"/>
      <c r="F739" s="42"/>
      <c r="G739" s="42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</row>
    <row r="740">
      <c r="A740" s="8"/>
      <c r="B740" s="8"/>
      <c r="C740" s="8"/>
      <c r="D740" s="42"/>
      <c r="E740" s="42"/>
      <c r="F740" s="42"/>
      <c r="G740" s="42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</row>
    <row r="741">
      <c r="A741" s="8"/>
      <c r="B741" s="8"/>
      <c r="C741" s="8"/>
      <c r="D741" s="42"/>
      <c r="E741" s="42"/>
      <c r="F741" s="42"/>
      <c r="G741" s="42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</row>
    <row r="742">
      <c r="A742" s="8"/>
      <c r="B742" s="8"/>
      <c r="C742" s="8"/>
      <c r="D742" s="42"/>
      <c r="E742" s="42"/>
      <c r="F742" s="42"/>
      <c r="G742" s="42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</row>
    <row r="743">
      <c r="A743" s="8"/>
      <c r="B743" s="8"/>
      <c r="C743" s="8"/>
      <c r="D743" s="42"/>
      <c r="E743" s="42"/>
      <c r="F743" s="42"/>
      <c r="G743" s="42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</row>
    <row r="744">
      <c r="A744" s="8"/>
      <c r="B744" s="8"/>
      <c r="C744" s="8"/>
      <c r="D744" s="42"/>
      <c r="E744" s="42"/>
      <c r="F744" s="42"/>
      <c r="G744" s="42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</row>
    <row r="745">
      <c r="A745" s="8"/>
      <c r="B745" s="8"/>
      <c r="C745" s="8"/>
      <c r="D745" s="42"/>
      <c r="E745" s="42"/>
      <c r="F745" s="42"/>
      <c r="G745" s="42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</row>
    <row r="746">
      <c r="A746" s="8"/>
      <c r="B746" s="8"/>
      <c r="C746" s="8"/>
      <c r="D746" s="42"/>
      <c r="E746" s="42"/>
      <c r="F746" s="42"/>
      <c r="G746" s="42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</row>
    <row r="747">
      <c r="A747" s="8"/>
      <c r="B747" s="8"/>
      <c r="C747" s="8"/>
      <c r="D747" s="42"/>
      <c r="E747" s="42"/>
      <c r="F747" s="42"/>
      <c r="G747" s="42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</row>
    <row r="748">
      <c r="A748" s="8"/>
      <c r="B748" s="8"/>
      <c r="C748" s="8"/>
      <c r="D748" s="42"/>
      <c r="E748" s="42"/>
      <c r="F748" s="42"/>
      <c r="G748" s="42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</row>
    <row r="749">
      <c r="A749" s="8"/>
      <c r="B749" s="8"/>
      <c r="C749" s="8"/>
      <c r="D749" s="42"/>
      <c r="E749" s="42"/>
      <c r="F749" s="42"/>
      <c r="G749" s="42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</row>
    <row r="750">
      <c r="A750" s="8"/>
      <c r="B750" s="8"/>
      <c r="C750" s="8"/>
      <c r="D750" s="42"/>
      <c r="E750" s="42"/>
      <c r="F750" s="42"/>
      <c r="G750" s="42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</row>
    <row r="751">
      <c r="A751" s="8"/>
      <c r="B751" s="8"/>
      <c r="C751" s="8"/>
      <c r="D751" s="42"/>
      <c r="E751" s="42"/>
      <c r="F751" s="42"/>
      <c r="G751" s="42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</row>
    <row r="752">
      <c r="A752" s="8"/>
      <c r="B752" s="8"/>
      <c r="C752" s="8"/>
      <c r="D752" s="42"/>
      <c r="E752" s="42"/>
      <c r="F752" s="42"/>
      <c r="G752" s="42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</row>
    <row r="753">
      <c r="A753" s="8"/>
      <c r="B753" s="8"/>
      <c r="C753" s="8"/>
      <c r="D753" s="42"/>
      <c r="E753" s="42"/>
      <c r="F753" s="42"/>
      <c r="G753" s="42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</row>
    <row r="754">
      <c r="A754" s="8"/>
      <c r="B754" s="8"/>
      <c r="C754" s="8"/>
      <c r="D754" s="42"/>
      <c r="E754" s="42"/>
      <c r="F754" s="42"/>
      <c r="G754" s="42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</row>
    <row r="755">
      <c r="A755" s="8"/>
      <c r="B755" s="8"/>
      <c r="C755" s="8"/>
      <c r="D755" s="42"/>
      <c r="E755" s="42"/>
      <c r="F755" s="42"/>
      <c r="G755" s="42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</row>
    <row r="756">
      <c r="A756" s="8"/>
      <c r="B756" s="8"/>
      <c r="C756" s="8"/>
      <c r="D756" s="42"/>
      <c r="E756" s="42"/>
      <c r="F756" s="42"/>
      <c r="G756" s="42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</row>
    <row r="757">
      <c r="A757" s="8"/>
      <c r="B757" s="8"/>
      <c r="C757" s="8"/>
      <c r="D757" s="42"/>
      <c r="E757" s="42"/>
      <c r="F757" s="42"/>
      <c r="G757" s="42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</row>
    <row r="758">
      <c r="A758" s="8"/>
      <c r="B758" s="8"/>
      <c r="C758" s="8"/>
      <c r="D758" s="42"/>
      <c r="E758" s="42"/>
      <c r="F758" s="42"/>
      <c r="G758" s="42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</row>
    <row r="759">
      <c r="A759" s="8"/>
      <c r="B759" s="8"/>
      <c r="C759" s="8"/>
      <c r="D759" s="42"/>
      <c r="E759" s="42"/>
      <c r="F759" s="42"/>
      <c r="G759" s="42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</row>
    <row r="760">
      <c r="A760" s="8"/>
      <c r="B760" s="8"/>
      <c r="C760" s="8"/>
      <c r="D760" s="42"/>
      <c r="E760" s="42"/>
      <c r="F760" s="42"/>
      <c r="G760" s="42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</row>
    <row r="761">
      <c r="A761" s="8"/>
      <c r="B761" s="8"/>
      <c r="C761" s="8"/>
      <c r="D761" s="42"/>
      <c r="E761" s="42"/>
      <c r="F761" s="42"/>
      <c r="G761" s="42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</row>
    <row r="762">
      <c r="A762" s="8"/>
      <c r="B762" s="8"/>
      <c r="C762" s="8"/>
      <c r="D762" s="42"/>
      <c r="E762" s="42"/>
      <c r="F762" s="42"/>
      <c r="G762" s="42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</row>
    <row r="763">
      <c r="A763" s="8"/>
      <c r="B763" s="8"/>
      <c r="C763" s="8"/>
      <c r="D763" s="42"/>
      <c r="E763" s="42"/>
      <c r="F763" s="42"/>
      <c r="G763" s="42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</row>
    <row r="764">
      <c r="A764" s="8"/>
      <c r="B764" s="8"/>
      <c r="C764" s="8"/>
      <c r="D764" s="42"/>
      <c r="E764" s="42"/>
      <c r="F764" s="42"/>
      <c r="G764" s="42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</row>
    <row r="765">
      <c r="A765" s="8"/>
      <c r="B765" s="8"/>
      <c r="C765" s="8"/>
      <c r="D765" s="42"/>
      <c r="E765" s="42"/>
      <c r="F765" s="42"/>
      <c r="G765" s="42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</row>
    <row r="766">
      <c r="A766" s="8"/>
      <c r="B766" s="8"/>
      <c r="C766" s="8"/>
      <c r="D766" s="42"/>
      <c r="E766" s="42"/>
      <c r="F766" s="42"/>
      <c r="G766" s="42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</row>
    <row r="767">
      <c r="A767" s="8"/>
      <c r="B767" s="8"/>
      <c r="C767" s="8"/>
      <c r="D767" s="42"/>
      <c r="E767" s="42"/>
      <c r="F767" s="42"/>
      <c r="G767" s="42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</row>
    <row r="768">
      <c r="A768" s="8"/>
      <c r="B768" s="8"/>
      <c r="C768" s="8"/>
      <c r="D768" s="42"/>
      <c r="E768" s="42"/>
      <c r="F768" s="42"/>
      <c r="G768" s="42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</row>
    <row r="769">
      <c r="A769" s="8"/>
      <c r="B769" s="8"/>
      <c r="C769" s="8"/>
      <c r="D769" s="42"/>
      <c r="E769" s="42"/>
      <c r="F769" s="42"/>
      <c r="G769" s="42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</row>
    <row r="770">
      <c r="A770" s="8"/>
      <c r="B770" s="8"/>
      <c r="C770" s="8"/>
      <c r="D770" s="42"/>
      <c r="E770" s="42"/>
      <c r="F770" s="42"/>
      <c r="G770" s="42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</row>
    <row r="771">
      <c r="A771" s="8"/>
      <c r="B771" s="8"/>
      <c r="C771" s="8"/>
      <c r="D771" s="42"/>
      <c r="E771" s="42"/>
      <c r="F771" s="42"/>
      <c r="G771" s="42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</row>
    <row r="772">
      <c r="A772" s="8"/>
      <c r="B772" s="8"/>
      <c r="C772" s="8"/>
      <c r="D772" s="42"/>
      <c r="E772" s="42"/>
      <c r="F772" s="42"/>
      <c r="G772" s="42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</row>
    <row r="773">
      <c r="A773" s="8"/>
      <c r="B773" s="8"/>
      <c r="C773" s="8"/>
      <c r="D773" s="42"/>
      <c r="E773" s="42"/>
      <c r="F773" s="42"/>
      <c r="G773" s="42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</row>
    <row r="774">
      <c r="A774" s="8"/>
      <c r="B774" s="8"/>
      <c r="C774" s="8"/>
      <c r="D774" s="42"/>
      <c r="E774" s="42"/>
      <c r="F774" s="42"/>
      <c r="G774" s="42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</row>
    <row r="775">
      <c r="A775" s="8"/>
      <c r="B775" s="8"/>
      <c r="C775" s="8"/>
      <c r="D775" s="42"/>
      <c r="E775" s="42"/>
      <c r="F775" s="42"/>
      <c r="G775" s="42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</row>
    <row r="776">
      <c r="A776" s="8"/>
      <c r="B776" s="8"/>
      <c r="C776" s="8"/>
      <c r="D776" s="42"/>
      <c r="E776" s="42"/>
      <c r="F776" s="42"/>
      <c r="G776" s="42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</row>
    <row r="777">
      <c r="A777" s="8"/>
      <c r="B777" s="8"/>
      <c r="C777" s="8"/>
      <c r="D777" s="42"/>
      <c r="E777" s="42"/>
      <c r="F777" s="42"/>
      <c r="G777" s="42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</row>
    <row r="778">
      <c r="A778" s="8"/>
      <c r="B778" s="8"/>
      <c r="C778" s="8"/>
      <c r="D778" s="42"/>
      <c r="E778" s="42"/>
      <c r="F778" s="42"/>
      <c r="G778" s="42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</row>
    <row r="779">
      <c r="A779" s="8"/>
      <c r="B779" s="8"/>
      <c r="C779" s="8"/>
      <c r="D779" s="42"/>
      <c r="E779" s="42"/>
      <c r="F779" s="42"/>
      <c r="G779" s="42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</row>
    <row r="780">
      <c r="A780" s="8"/>
      <c r="B780" s="8"/>
      <c r="C780" s="8"/>
      <c r="D780" s="42"/>
      <c r="E780" s="42"/>
      <c r="F780" s="42"/>
      <c r="G780" s="42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</row>
    <row r="781">
      <c r="A781" s="8"/>
      <c r="B781" s="8"/>
      <c r="C781" s="8"/>
      <c r="D781" s="42"/>
      <c r="E781" s="42"/>
      <c r="F781" s="42"/>
      <c r="G781" s="42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</row>
    <row r="782">
      <c r="A782" s="8"/>
      <c r="B782" s="8"/>
      <c r="C782" s="8"/>
      <c r="D782" s="42"/>
      <c r="E782" s="42"/>
      <c r="F782" s="42"/>
      <c r="G782" s="42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</row>
    <row r="783">
      <c r="A783" s="8"/>
      <c r="B783" s="8"/>
      <c r="C783" s="8"/>
      <c r="D783" s="42"/>
      <c r="E783" s="42"/>
      <c r="F783" s="42"/>
      <c r="G783" s="42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</row>
    <row r="784">
      <c r="A784" s="8"/>
      <c r="B784" s="8"/>
      <c r="C784" s="8"/>
      <c r="D784" s="42"/>
      <c r="E784" s="42"/>
      <c r="F784" s="42"/>
      <c r="G784" s="42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</row>
    <row r="785">
      <c r="A785" s="8"/>
      <c r="B785" s="8"/>
      <c r="C785" s="8"/>
      <c r="D785" s="42"/>
      <c r="E785" s="42"/>
      <c r="F785" s="42"/>
      <c r="G785" s="42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</row>
    <row r="786">
      <c r="A786" s="8"/>
      <c r="B786" s="8"/>
      <c r="C786" s="8"/>
      <c r="D786" s="42"/>
      <c r="E786" s="42"/>
      <c r="F786" s="42"/>
      <c r="G786" s="42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</row>
    <row r="787">
      <c r="A787" s="8"/>
      <c r="B787" s="8"/>
      <c r="C787" s="8"/>
      <c r="D787" s="42"/>
      <c r="E787" s="42"/>
      <c r="F787" s="42"/>
      <c r="G787" s="42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</row>
    <row r="788">
      <c r="A788" s="8"/>
      <c r="B788" s="8"/>
      <c r="C788" s="8"/>
      <c r="D788" s="42"/>
      <c r="E788" s="42"/>
      <c r="F788" s="42"/>
      <c r="G788" s="42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</row>
    <row r="789">
      <c r="A789" s="8"/>
      <c r="B789" s="8"/>
      <c r="C789" s="8"/>
      <c r="D789" s="42"/>
      <c r="E789" s="42"/>
      <c r="F789" s="42"/>
      <c r="G789" s="42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</row>
    <row r="790">
      <c r="A790" s="8"/>
      <c r="B790" s="8"/>
      <c r="C790" s="8"/>
      <c r="D790" s="42"/>
      <c r="E790" s="42"/>
      <c r="F790" s="42"/>
      <c r="G790" s="42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</row>
    <row r="791">
      <c r="A791" s="8"/>
      <c r="B791" s="8"/>
      <c r="C791" s="8"/>
      <c r="D791" s="42"/>
      <c r="E791" s="42"/>
      <c r="F791" s="42"/>
      <c r="G791" s="42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</row>
    <row r="792">
      <c r="A792" s="8"/>
      <c r="B792" s="8"/>
      <c r="C792" s="8"/>
      <c r="D792" s="42"/>
      <c r="E792" s="42"/>
      <c r="F792" s="42"/>
      <c r="G792" s="42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</row>
    <row r="793">
      <c r="A793" s="8"/>
      <c r="B793" s="8"/>
      <c r="C793" s="8"/>
      <c r="D793" s="42"/>
      <c r="E793" s="42"/>
      <c r="F793" s="42"/>
      <c r="G793" s="42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</row>
    <row r="794">
      <c r="A794" s="8"/>
      <c r="B794" s="8"/>
      <c r="C794" s="8"/>
      <c r="D794" s="42"/>
      <c r="E794" s="42"/>
      <c r="F794" s="42"/>
      <c r="G794" s="42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</row>
    <row r="795">
      <c r="A795" s="8"/>
      <c r="B795" s="8"/>
      <c r="C795" s="8"/>
      <c r="D795" s="42"/>
      <c r="E795" s="42"/>
      <c r="F795" s="42"/>
      <c r="G795" s="42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</row>
    <row r="796">
      <c r="A796" s="8"/>
      <c r="B796" s="8"/>
      <c r="C796" s="8"/>
      <c r="D796" s="42"/>
      <c r="E796" s="42"/>
      <c r="F796" s="42"/>
      <c r="G796" s="42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</row>
    <row r="797">
      <c r="A797" s="8"/>
      <c r="B797" s="8"/>
      <c r="C797" s="8"/>
      <c r="D797" s="42"/>
      <c r="E797" s="42"/>
      <c r="F797" s="42"/>
      <c r="G797" s="42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</row>
    <row r="798">
      <c r="A798" s="8"/>
      <c r="B798" s="8"/>
      <c r="C798" s="8"/>
      <c r="D798" s="42"/>
      <c r="E798" s="42"/>
      <c r="F798" s="42"/>
      <c r="G798" s="42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</row>
    <row r="799">
      <c r="A799" s="8"/>
      <c r="B799" s="8"/>
      <c r="C799" s="8"/>
      <c r="D799" s="42"/>
      <c r="E799" s="42"/>
      <c r="F799" s="42"/>
      <c r="G799" s="42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</row>
    <row r="800">
      <c r="A800" s="8"/>
      <c r="B800" s="8"/>
      <c r="C800" s="8"/>
      <c r="D800" s="42"/>
      <c r="E800" s="42"/>
      <c r="F800" s="42"/>
      <c r="G800" s="42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</row>
    <row r="801">
      <c r="A801" s="8"/>
      <c r="B801" s="8"/>
      <c r="C801" s="8"/>
      <c r="D801" s="42"/>
      <c r="E801" s="42"/>
      <c r="F801" s="42"/>
      <c r="G801" s="42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</row>
    <row r="802">
      <c r="A802" s="8"/>
      <c r="B802" s="8"/>
      <c r="C802" s="8"/>
      <c r="D802" s="42"/>
      <c r="E802" s="42"/>
      <c r="F802" s="42"/>
      <c r="G802" s="42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</row>
    <row r="803">
      <c r="A803" s="8"/>
      <c r="B803" s="8"/>
      <c r="C803" s="8"/>
      <c r="D803" s="42"/>
      <c r="E803" s="42"/>
      <c r="F803" s="42"/>
      <c r="G803" s="42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</row>
    <row r="804">
      <c r="A804" s="8"/>
      <c r="B804" s="8"/>
      <c r="C804" s="8"/>
      <c r="D804" s="42"/>
      <c r="E804" s="42"/>
      <c r="F804" s="42"/>
      <c r="G804" s="42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</row>
    <row r="805">
      <c r="A805" s="8"/>
      <c r="B805" s="8"/>
      <c r="C805" s="8"/>
      <c r="D805" s="42"/>
      <c r="E805" s="42"/>
      <c r="F805" s="42"/>
      <c r="G805" s="42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</row>
    <row r="806">
      <c r="A806" s="8"/>
      <c r="B806" s="8"/>
      <c r="C806" s="8"/>
      <c r="D806" s="42"/>
      <c r="E806" s="42"/>
      <c r="F806" s="42"/>
      <c r="G806" s="42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</row>
    <row r="807">
      <c r="A807" s="8"/>
      <c r="B807" s="8"/>
      <c r="C807" s="8"/>
      <c r="D807" s="42"/>
      <c r="E807" s="42"/>
      <c r="F807" s="42"/>
      <c r="G807" s="42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</row>
    <row r="808">
      <c r="A808" s="8"/>
      <c r="B808" s="8"/>
      <c r="C808" s="8"/>
      <c r="D808" s="42"/>
      <c r="E808" s="42"/>
      <c r="F808" s="42"/>
      <c r="G808" s="42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</row>
    <row r="809">
      <c r="A809" s="8"/>
      <c r="B809" s="8"/>
      <c r="C809" s="8"/>
      <c r="D809" s="42"/>
      <c r="E809" s="42"/>
      <c r="F809" s="42"/>
      <c r="G809" s="42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</row>
    <row r="810">
      <c r="A810" s="8"/>
      <c r="B810" s="8"/>
      <c r="C810" s="8"/>
      <c r="D810" s="42"/>
      <c r="E810" s="42"/>
      <c r="F810" s="42"/>
      <c r="G810" s="42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</row>
    <row r="811">
      <c r="A811" s="8"/>
      <c r="B811" s="8"/>
      <c r="C811" s="8"/>
      <c r="D811" s="42"/>
      <c r="E811" s="42"/>
      <c r="F811" s="42"/>
      <c r="G811" s="42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</row>
    <row r="812">
      <c r="A812" s="8"/>
      <c r="B812" s="8"/>
      <c r="C812" s="8"/>
      <c r="D812" s="42"/>
      <c r="E812" s="42"/>
      <c r="F812" s="42"/>
      <c r="G812" s="42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</row>
    <row r="813">
      <c r="A813" s="8"/>
      <c r="B813" s="8"/>
      <c r="C813" s="8"/>
      <c r="D813" s="42"/>
      <c r="E813" s="42"/>
      <c r="F813" s="42"/>
      <c r="G813" s="42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</row>
    <row r="814">
      <c r="A814" s="8"/>
      <c r="B814" s="8"/>
      <c r="C814" s="8"/>
      <c r="D814" s="42"/>
      <c r="E814" s="42"/>
      <c r="F814" s="42"/>
      <c r="G814" s="42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</row>
    <row r="815">
      <c r="A815" s="8"/>
      <c r="B815" s="8"/>
      <c r="C815" s="8"/>
      <c r="D815" s="42"/>
      <c r="E815" s="42"/>
      <c r="F815" s="42"/>
      <c r="G815" s="42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</row>
    <row r="816">
      <c r="A816" s="8"/>
      <c r="B816" s="8"/>
      <c r="C816" s="8"/>
      <c r="D816" s="42"/>
      <c r="E816" s="42"/>
      <c r="F816" s="42"/>
      <c r="G816" s="42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</row>
    <row r="817">
      <c r="A817" s="8"/>
      <c r="B817" s="8"/>
      <c r="C817" s="8"/>
      <c r="D817" s="42"/>
      <c r="E817" s="42"/>
      <c r="F817" s="42"/>
      <c r="G817" s="42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</row>
    <row r="818">
      <c r="A818" s="8"/>
      <c r="B818" s="8"/>
      <c r="C818" s="8"/>
      <c r="D818" s="42"/>
      <c r="E818" s="42"/>
      <c r="F818" s="42"/>
      <c r="G818" s="42"/>
      <c r="H818" s="8"/>
      <c r="I818" s="8"/>
      <c r="J818" s="8"/>
      <c r="K818" s="8"/>
      <c r="L818" s="8"/>
      <c r="M818" s="8"/>
      <c r="N818" s="8"/>
      <c r="O818" s="8"/>
      <c r="P818" s="8"/>
      <c r="Q818" s="8"/>
      <c r="Y818" s="8"/>
      <c r="Z818" s="8"/>
      <c r="AA818" s="8"/>
      <c r="AB818" s="8"/>
      <c r="AC818" s="8"/>
      <c r="AD818" s="8"/>
      <c r="AE818" s="8"/>
      <c r="AF818" s="8"/>
    </row>
    <row r="819">
      <c r="A819" s="8"/>
      <c r="B819" s="8"/>
      <c r="C819" s="8"/>
      <c r="D819" s="42"/>
      <c r="E819" s="42"/>
      <c r="F819" s="42"/>
      <c r="G819" s="42"/>
      <c r="H819" s="8"/>
      <c r="I819" s="8"/>
      <c r="J819" s="8"/>
      <c r="K819" s="8"/>
      <c r="L819" s="8"/>
      <c r="M819" s="8"/>
      <c r="N819" s="8"/>
      <c r="O819" s="8"/>
      <c r="P819" s="8"/>
      <c r="Q819" s="8"/>
      <c r="Y819" s="8"/>
      <c r="Z819" s="8"/>
      <c r="AA819" s="8"/>
      <c r="AB819" s="8"/>
      <c r="AC819" s="8"/>
      <c r="AD819" s="8"/>
      <c r="AE819" s="8"/>
      <c r="AF819" s="8"/>
    </row>
  </sheetData>
  <mergeCells count="17">
    <mergeCell ref="B1:G2"/>
    <mergeCell ref="B3:B5"/>
    <mergeCell ref="C3:C5"/>
    <mergeCell ref="D3:G3"/>
    <mergeCell ref="L3:O3"/>
    <mergeCell ref="D4:D5"/>
    <mergeCell ref="E4:E5"/>
    <mergeCell ref="I16:I21"/>
    <mergeCell ref="I22:I27"/>
    <mergeCell ref="F4:F5"/>
    <mergeCell ref="G4:G5"/>
    <mergeCell ref="B6:B10"/>
    <mergeCell ref="I6:I10"/>
    <mergeCell ref="I11:I15"/>
    <mergeCell ref="B12:B15"/>
    <mergeCell ref="B17:B21"/>
    <mergeCell ref="B23:B27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  <col customWidth="1" min="3" max="3" width="19.5"/>
    <col customWidth="1" min="4" max="4" width="23.88"/>
    <col customWidth="1" hidden="1" min="5" max="5" width="13.5"/>
    <col customWidth="1" min="6" max="6" width="22.38"/>
    <col customWidth="1" min="9" max="9" width="2.88"/>
    <col customWidth="1" hidden="1" min="10" max="10" width="20.5"/>
    <col hidden="1" min="11" max="11" width="12.63"/>
    <col customWidth="1" min="12" max="12" width="50.75"/>
    <col customWidth="1" hidden="1" min="13" max="13" width="16.0"/>
    <col customWidth="1" min="14" max="14" width="2.88"/>
    <col hidden="1" min="15" max="18" width="12.63"/>
    <col customWidth="1" min="20" max="20" width="23.63"/>
  </cols>
  <sheetData>
    <row r="1">
      <c r="B1" s="205" t="s">
        <v>414</v>
      </c>
    </row>
    <row r="3">
      <c r="A3" s="151"/>
      <c r="B3" s="115" t="s">
        <v>389</v>
      </c>
      <c r="C3" s="115" t="s">
        <v>390</v>
      </c>
      <c r="D3" s="115" t="s">
        <v>4</v>
      </c>
      <c r="E3" s="206" t="s">
        <v>415</v>
      </c>
      <c r="F3" s="207" t="s">
        <v>416</v>
      </c>
      <c r="G3" s="208" t="s">
        <v>417</v>
      </c>
      <c r="H3" s="209" t="s">
        <v>418</v>
      </c>
      <c r="I3" s="210"/>
      <c r="J3" s="211" t="s">
        <v>419</v>
      </c>
      <c r="K3" s="208" t="s">
        <v>420</v>
      </c>
      <c r="L3" s="207" t="s">
        <v>402</v>
      </c>
      <c r="M3" s="212" t="s">
        <v>268</v>
      </c>
      <c r="N3" s="210"/>
      <c r="O3" s="213" t="s">
        <v>421</v>
      </c>
      <c r="P3" s="213" t="s">
        <v>422</v>
      </c>
      <c r="Q3" s="213" t="s">
        <v>423</v>
      </c>
      <c r="R3" s="214" t="s">
        <v>424</v>
      </c>
      <c r="S3" s="151"/>
      <c r="T3" s="151"/>
    </row>
    <row r="4" ht="26.25" customHeight="1">
      <c r="A4" s="151"/>
      <c r="B4" s="47"/>
      <c r="C4" s="47"/>
      <c r="D4" s="47"/>
      <c r="E4" s="50"/>
      <c r="F4" s="47"/>
      <c r="G4" s="47"/>
      <c r="H4" s="215"/>
      <c r="I4" s="210"/>
      <c r="J4" s="216"/>
      <c r="K4" s="47"/>
      <c r="L4" s="47"/>
      <c r="M4" s="50"/>
      <c r="N4" s="210"/>
      <c r="O4" s="50"/>
      <c r="P4" s="50"/>
      <c r="Q4" s="50"/>
      <c r="R4" s="50"/>
      <c r="S4" s="151"/>
      <c r="T4" s="151"/>
    </row>
    <row r="5">
      <c r="A5" s="151"/>
      <c r="B5" s="50"/>
      <c r="C5" s="50"/>
      <c r="D5" s="50"/>
      <c r="E5" s="217">
        <v>2031.0</v>
      </c>
      <c r="F5" s="50"/>
      <c r="G5" s="50"/>
      <c r="H5" s="218"/>
      <c r="I5" s="210"/>
      <c r="J5" s="48"/>
      <c r="K5" s="50"/>
      <c r="L5" s="50"/>
      <c r="M5" s="219">
        <v>2031.0</v>
      </c>
      <c r="N5" s="210"/>
      <c r="O5" s="220">
        <v>2021.0</v>
      </c>
      <c r="P5" s="117"/>
      <c r="Q5" s="118"/>
      <c r="R5" s="219">
        <v>2031.0</v>
      </c>
      <c r="S5" s="151"/>
      <c r="T5" s="151"/>
    </row>
    <row r="6">
      <c r="B6" s="120" t="s">
        <v>392</v>
      </c>
      <c r="C6" s="11" t="s">
        <v>393</v>
      </c>
      <c r="D6" s="20" t="s">
        <v>18</v>
      </c>
      <c r="E6" s="122">
        <v>25734.0</v>
      </c>
      <c r="F6" s="221" t="s">
        <v>425</v>
      </c>
      <c r="G6" s="56">
        <f>-1573346 + 786.5*2031</f>
        <v>24035.5</v>
      </c>
      <c r="H6" s="222">
        <f t="shared" ref="H6:H8" si="1">ABS(E6-G6)/E6</f>
        <v>0.06600217611</v>
      </c>
      <c r="I6" s="223"/>
      <c r="J6" s="224" t="s">
        <v>426</v>
      </c>
      <c r="K6" s="101">
        <f> -10268372 + 5117*2031</f>
        <v>124255</v>
      </c>
      <c r="L6" s="221" t="s">
        <v>427</v>
      </c>
      <c r="M6" s="100">
        <f>-11017484 + 5491*2031 - 0.45*E6</f>
        <v>123156.7</v>
      </c>
      <c r="N6" s="210"/>
      <c r="O6" s="157">
        <v>68540.0</v>
      </c>
      <c r="P6" s="63">
        <v>73916.7</v>
      </c>
      <c r="Q6" s="160">
        <v>0.07844616282462791</v>
      </c>
      <c r="R6" s="101">
        <f t="shared" ref="R6:R8" si="2">M6/10.764</f>
        <v>11441.5366</v>
      </c>
    </row>
    <row r="7">
      <c r="B7" s="123" t="s">
        <v>392</v>
      </c>
      <c r="C7" s="124"/>
      <c r="D7" s="60" t="s">
        <v>15</v>
      </c>
      <c r="E7" s="121">
        <v>39325.0</v>
      </c>
      <c r="F7" s="221" t="s">
        <v>428</v>
      </c>
      <c r="G7" s="101">
        <f>-2245716 + 1124*2031</f>
        <v>37128</v>
      </c>
      <c r="H7" s="222">
        <f t="shared" si="1"/>
        <v>0.0558677686</v>
      </c>
      <c r="I7" s="223"/>
      <c r="J7" s="224" t="s">
        <v>429</v>
      </c>
      <c r="K7" s="101">
        <f>-10667627 + 5315*2031 </f>
        <v>127138</v>
      </c>
      <c r="L7" s="221" t="s">
        <v>430</v>
      </c>
      <c r="M7" s="100">
        <f>-9226455 + 4594*2031 + 0.62*E7</f>
        <v>128340.5</v>
      </c>
      <c r="N7" s="210"/>
      <c r="O7" s="162">
        <v>70300.0</v>
      </c>
      <c r="P7" s="56">
        <v>69041.36</v>
      </c>
      <c r="Q7" s="160">
        <v>0.017903840682788042</v>
      </c>
      <c r="R7" s="101">
        <f t="shared" si="2"/>
        <v>11923.12337</v>
      </c>
    </row>
    <row r="8">
      <c r="B8" s="125" t="s">
        <v>392</v>
      </c>
      <c r="C8" s="50"/>
      <c r="D8" s="60" t="s">
        <v>20</v>
      </c>
      <c r="E8" s="122">
        <v>17429.0</v>
      </c>
      <c r="F8" s="221" t="s">
        <v>431</v>
      </c>
      <c r="G8" s="56">
        <f>-433580 + 221.5*2031</f>
        <v>16286.5</v>
      </c>
      <c r="H8" s="222">
        <f t="shared" si="1"/>
        <v>0.06555166676</v>
      </c>
      <c r="I8" s="223"/>
      <c r="J8" s="224" t="s">
        <v>432</v>
      </c>
      <c r="K8" s="101">
        <f>-2193625 + 1097*2031</f>
        <v>34382</v>
      </c>
      <c r="L8" s="221" t="s">
        <v>433</v>
      </c>
      <c r="M8" s="100">
        <f>-2214256 + 1110*2031 - 0.283*E8</f>
        <v>35221.593</v>
      </c>
      <c r="N8" s="210"/>
      <c r="O8" s="163">
        <v>25300.0</v>
      </c>
      <c r="P8" s="56">
        <v>25794.972</v>
      </c>
      <c r="Q8" s="160">
        <v>0.01956411067193682</v>
      </c>
      <c r="R8" s="101">
        <f t="shared" si="2"/>
        <v>3272.165831</v>
      </c>
    </row>
    <row r="9">
      <c r="B9" s="126"/>
      <c r="C9" s="127"/>
      <c r="D9" s="89"/>
      <c r="E9" s="128"/>
      <c r="F9" s="225"/>
      <c r="G9" s="164"/>
      <c r="H9" s="164"/>
      <c r="I9" s="223"/>
      <c r="J9" s="226"/>
      <c r="K9" s="164"/>
      <c r="L9" s="225"/>
      <c r="M9" s="90"/>
      <c r="N9" s="223"/>
      <c r="O9" s="128"/>
      <c r="P9" s="90"/>
      <c r="Q9" s="128"/>
      <c r="R9" s="90"/>
    </row>
    <row r="10">
      <c r="B10" s="125" t="s">
        <v>392</v>
      </c>
      <c r="C10" s="130" t="s">
        <v>292</v>
      </c>
      <c r="D10" s="57" t="s">
        <v>30</v>
      </c>
      <c r="E10" s="122">
        <v>40506.0</v>
      </c>
      <c r="F10" s="221" t="s">
        <v>434</v>
      </c>
      <c r="G10" s="101">
        <f> -1178776 + 599.9*2031</f>
        <v>39620.9</v>
      </c>
      <c r="H10" s="222">
        <f t="shared" ref="H10:H12" si="3">ABS(E10-G10)/E10</f>
        <v>0.02185108379</v>
      </c>
      <c r="I10" s="223"/>
      <c r="J10" s="224" t="s">
        <v>435</v>
      </c>
      <c r="K10" s="227">
        <f>-4292912 + 2145*2031</f>
        <v>63583</v>
      </c>
      <c r="L10" s="221" t="s">
        <v>436</v>
      </c>
      <c r="M10" s="100">
        <f>-5108216 + 2561*2031 - 0.75*40506</f>
        <v>62795.5</v>
      </c>
      <c r="N10" s="223"/>
      <c r="O10" s="163">
        <v>40000.0</v>
      </c>
      <c r="P10" s="56">
        <v>42878.75</v>
      </c>
      <c r="Q10" s="160">
        <v>0.07196875</v>
      </c>
      <c r="R10" s="101">
        <f t="shared" ref="R10:R12" si="4">M10/10.764</f>
        <v>5833.844296</v>
      </c>
    </row>
    <row r="11">
      <c r="B11" s="120" t="s">
        <v>392</v>
      </c>
      <c r="C11" s="131"/>
      <c r="D11" s="57" t="s">
        <v>25</v>
      </c>
      <c r="E11" s="122">
        <v>94901.0</v>
      </c>
      <c r="F11" s="221" t="s">
        <v>437</v>
      </c>
      <c r="G11" s="101">
        <f>-5502766 + 2755*2031</f>
        <v>92639</v>
      </c>
      <c r="H11" s="222">
        <f t="shared" si="3"/>
        <v>0.02383536528</v>
      </c>
      <c r="I11" s="223"/>
      <c r="J11" s="224" t="s">
        <v>438</v>
      </c>
      <c r="K11" s="101">
        <f>-19002499 + 9455*2031</f>
        <v>200606</v>
      </c>
      <c r="L11" s="221" t="s">
        <v>439</v>
      </c>
      <c r="M11" s="100">
        <f>-21960294 + 10935*2031 -0.521*40406</f>
        <v>227639.474</v>
      </c>
      <c r="N11" s="223"/>
      <c r="O11" s="86">
        <v>102000.0</v>
      </c>
      <c r="P11" s="56">
        <v>105058.679</v>
      </c>
      <c r="Q11" s="160">
        <v>0.02998704901960788</v>
      </c>
      <c r="R11" s="101">
        <f t="shared" si="4"/>
        <v>21148.22315</v>
      </c>
    </row>
    <row r="12">
      <c r="B12" s="120" t="s">
        <v>392</v>
      </c>
      <c r="C12" s="50"/>
      <c r="D12" s="57" t="s">
        <v>37</v>
      </c>
      <c r="E12" s="121">
        <v>20655.0</v>
      </c>
      <c r="F12" s="221" t="s">
        <v>440</v>
      </c>
      <c r="G12" s="101">
        <f> -937435 + 471.7*2031</f>
        <v>20587.7</v>
      </c>
      <c r="H12" s="222">
        <f t="shared" si="3"/>
        <v>0.003258290971</v>
      </c>
      <c r="I12" s="223"/>
      <c r="J12" s="224" t="s">
        <v>441</v>
      </c>
      <c r="K12" s="101">
        <f> -7044595 + 3513 *2031</f>
        <v>90308</v>
      </c>
      <c r="L12" s="221" t="s">
        <v>442</v>
      </c>
      <c r="M12" s="228">
        <f> -6752639 + 3366*2031 + 0.29*20655</f>
        <v>89696.95</v>
      </c>
      <c r="N12" s="223"/>
      <c r="O12" s="157">
        <v>54600.0</v>
      </c>
      <c r="P12" s="56">
        <v>54834.61</v>
      </c>
      <c r="Q12" s="160">
        <v>0.004296886446886457</v>
      </c>
      <c r="R12" s="101">
        <f t="shared" si="4"/>
        <v>8333.049981</v>
      </c>
    </row>
    <row r="13">
      <c r="B13" s="133"/>
      <c r="C13" s="91"/>
      <c r="D13" s="91"/>
      <c r="E13" s="91"/>
      <c r="F13" s="225"/>
      <c r="G13" s="164"/>
      <c r="H13" s="164"/>
      <c r="I13" s="223"/>
      <c r="J13" s="226"/>
      <c r="K13" s="164"/>
      <c r="L13" s="225"/>
      <c r="M13" s="90"/>
      <c r="N13" s="223"/>
      <c r="O13" s="134"/>
      <c r="P13" s="90"/>
      <c r="Q13" s="134"/>
      <c r="R13" s="90"/>
    </row>
    <row r="14">
      <c r="B14" s="120" t="s">
        <v>392</v>
      </c>
      <c r="C14" s="130" t="s">
        <v>308</v>
      </c>
      <c r="D14" s="57" t="s">
        <v>21</v>
      </c>
      <c r="E14" s="121">
        <v>35528.0</v>
      </c>
      <c r="F14" s="221" t="s">
        <v>443</v>
      </c>
      <c r="G14" s="101">
        <f> -1591068 + 800.5*2031</f>
        <v>34747.5</v>
      </c>
      <c r="H14" s="222">
        <f t="shared" ref="H14:H17" si="5">ABS(E14-G14)/E14</f>
        <v>0.02196858816</v>
      </c>
      <c r="I14" s="223"/>
      <c r="J14" s="224" t="s">
        <v>444</v>
      </c>
      <c r="K14" s="101">
        <f>-5793115 + 2885*2031</f>
        <v>66320</v>
      </c>
      <c r="L14" s="221" t="s">
        <v>445</v>
      </c>
      <c r="M14" s="100">
        <f> -4479848 + 2223*2031 + 0.884*35528</f>
        <v>66471.752</v>
      </c>
      <c r="N14" s="223"/>
      <c r="O14" s="157">
        <v>35000.0</v>
      </c>
      <c r="P14" s="56">
        <v>34698.972</v>
      </c>
      <c r="Q14" s="160">
        <v>0.008600799999999955</v>
      </c>
      <c r="R14" s="101">
        <f t="shared" ref="R14:R17" si="6">M14/10.764</f>
        <v>6175.37644</v>
      </c>
    </row>
    <row r="15">
      <c r="B15" s="120" t="s">
        <v>392</v>
      </c>
      <c r="C15" s="131"/>
      <c r="D15" s="57" t="s">
        <v>36</v>
      </c>
      <c r="E15" s="121">
        <v>11814.0</v>
      </c>
      <c r="F15" s="221" t="s">
        <v>446</v>
      </c>
      <c r="G15" s="101">
        <f> -329608 + 167.8*2031</f>
        <v>11193.8</v>
      </c>
      <c r="H15" s="222">
        <f t="shared" si="5"/>
        <v>0.05249703741</v>
      </c>
      <c r="I15" s="223"/>
      <c r="J15" s="224" t="s">
        <v>447</v>
      </c>
      <c r="K15" s="101">
        <f> -5245076 + 2614*2031</f>
        <v>63958</v>
      </c>
      <c r="L15" s="221" t="s">
        <v>448</v>
      </c>
      <c r="M15" s="100">
        <f> -5148608 + 2566*2031 + 0.037*11814</f>
        <v>63375.118</v>
      </c>
      <c r="N15" s="223"/>
      <c r="O15" s="157">
        <v>39600.0</v>
      </c>
      <c r="P15" s="56">
        <v>37596.607</v>
      </c>
      <c r="Q15" s="160">
        <v>0.05059073232323223</v>
      </c>
      <c r="R15" s="101">
        <f t="shared" si="6"/>
        <v>5887.692122</v>
      </c>
    </row>
    <row r="16">
      <c r="B16" s="120" t="s">
        <v>392</v>
      </c>
      <c r="C16" s="47"/>
      <c r="D16" s="57" t="s">
        <v>29</v>
      </c>
      <c r="E16" s="121">
        <v>13323.0</v>
      </c>
      <c r="F16" s="221" t="s">
        <v>449</v>
      </c>
      <c r="G16" s="101">
        <f> -136910 + 73.99*2031</f>
        <v>13363.69</v>
      </c>
      <c r="H16" s="222">
        <f t="shared" si="5"/>
        <v>0.003054116941</v>
      </c>
      <c r="I16" s="223"/>
      <c r="J16" s="224" t="s">
        <v>450</v>
      </c>
      <c r="K16" s="101">
        <f> -5709673 + 2850*2031</f>
        <v>78677</v>
      </c>
      <c r="L16" s="221" t="s">
        <v>451</v>
      </c>
      <c r="M16" s="100">
        <f> -6267944 + 3155*2031 -4.55*13323</f>
        <v>79241.35</v>
      </c>
      <c r="N16" s="223"/>
      <c r="O16" s="157">
        <v>48200.0</v>
      </c>
      <c r="P16" s="56">
        <v>49725.200000000004</v>
      </c>
      <c r="Q16" s="160">
        <v>0.03164315352697104</v>
      </c>
      <c r="R16" s="101">
        <f t="shared" si="6"/>
        <v>7361.701041</v>
      </c>
    </row>
    <row r="17">
      <c r="B17" s="120" t="s">
        <v>392</v>
      </c>
      <c r="C17" s="50"/>
      <c r="D17" s="57" t="s">
        <v>34</v>
      </c>
      <c r="E17" s="121">
        <v>41688.0</v>
      </c>
      <c r="F17" s="221" t="s">
        <v>452</v>
      </c>
      <c r="G17" s="101">
        <f> -2278860 + 1141*2031</f>
        <v>38511</v>
      </c>
      <c r="H17" s="222">
        <f t="shared" si="5"/>
        <v>0.076208981</v>
      </c>
      <c r="I17" s="223"/>
      <c r="J17" s="224" t="s">
        <v>453</v>
      </c>
      <c r="K17" s="101">
        <f>-14086824 + 7010*2031</f>
        <v>150486</v>
      </c>
      <c r="L17" s="221" t="s">
        <v>454</v>
      </c>
      <c r="M17" s="100">
        <f> -17552425 + 8746*2031 - 1.52*41688</f>
        <v>147335.24</v>
      </c>
      <c r="N17" s="223"/>
      <c r="O17" s="157">
        <v>90000.0</v>
      </c>
      <c r="P17" s="56">
        <v>92889.92</v>
      </c>
      <c r="Q17" s="160">
        <v>0.0321102222222222</v>
      </c>
      <c r="R17" s="101">
        <f t="shared" si="6"/>
        <v>13687.77778</v>
      </c>
    </row>
    <row r="18">
      <c r="B18" s="133"/>
      <c r="C18" s="91"/>
      <c r="D18" s="91"/>
      <c r="E18" s="91"/>
      <c r="F18" s="225"/>
      <c r="G18" s="164"/>
      <c r="H18" s="164"/>
      <c r="I18" s="223"/>
      <c r="J18" s="226"/>
      <c r="K18" s="164"/>
      <c r="L18" s="225"/>
      <c r="M18" s="90"/>
      <c r="N18" s="223"/>
      <c r="O18" s="134"/>
      <c r="P18" s="90"/>
      <c r="Q18" s="134"/>
      <c r="R18" s="90"/>
    </row>
    <row r="19">
      <c r="B19" s="120" t="s">
        <v>394</v>
      </c>
      <c r="C19" s="135" t="s">
        <v>331</v>
      </c>
      <c r="D19" s="57" t="s">
        <v>53</v>
      </c>
      <c r="E19" s="121">
        <v>9343.0</v>
      </c>
      <c r="F19" s="229" t="s">
        <v>455</v>
      </c>
      <c r="G19" s="101">
        <f> -98027 + 52.89*2031</f>
        <v>9392.59</v>
      </c>
      <c r="H19" s="222">
        <f t="shared" ref="H19:H34" si="7">ABS(E19-G19)/E19</f>
        <v>0.005307717007</v>
      </c>
      <c r="I19" s="223"/>
      <c r="J19" s="224" t="s">
        <v>456</v>
      </c>
      <c r="K19" s="101">
        <f>-5104393 + 2547*2031</f>
        <v>68564</v>
      </c>
      <c r="L19" s="221" t="s">
        <v>457</v>
      </c>
      <c r="M19" s="100">
        <f> -5448012 + 2733.7*2031 -3.78*9343</f>
        <v>68816.16</v>
      </c>
      <c r="N19" s="223"/>
      <c r="O19" s="157">
        <v>42300.0</v>
      </c>
      <c r="P19" s="56">
        <v>41781.559999999256</v>
      </c>
      <c r="Q19" s="160">
        <v>0.012256264775431312</v>
      </c>
      <c r="R19" s="101">
        <f t="shared" ref="R19:R34" si="8">M19/10.764</f>
        <v>6393.177258</v>
      </c>
    </row>
    <row r="20">
      <c r="B20" s="120" t="s">
        <v>394</v>
      </c>
      <c r="C20" s="136"/>
      <c r="D20" s="57" t="s">
        <v>45</v>
      </c>
      <c r="E20" s="122">
        <v>14975.0</v>
      </c>
      <c r="F20" s="221" t="s">
        <v>458</v>
      </c>
      <c r="G20" s="101">
        <f> -32596 + 23.34*2031</f>
        <v>14807.54</v>
      </c>
      <c r="H20" s="222">
        <f t="shared" si="7"/>
        <v>0.01118263773</v>
      </c>
      <c r="I20" s="223"/>
      <c r="J20" s="224" t="s">
        <v>459</v>
      </c>
      <c r="K20" s="101">
        <f> -4932732 + 2460*2031</f>
        <v>63528</v>
      </c>
      <c r="L20" s="221" t="s">
        <v>460</v>
      </c>
      <c r="M20" s="100">
        <f> -4873038 + 2416*2031 + 2.04*14975</f>
        <v>64407</v>
      </c>
      <c r="N20" s="223"/>
      <c r="O20" s="86">
        <v>40000.0</v>
      </c>
      <c r="P20" s="56">
        <v>39557.479999999996</v>
      </c>
      <c r="Q20" s="160">
        <v>0.011063000000000102</v>
      </c>
      <c r="R20" s="101">
        <f t="shared" si="8"/>
        <v>5983.556299</v>
      </c>
    </row>
    <row r="21">
      <c r="B21" s="120" t="s">
        <v>394</v>
      </c>
      <c r="C21" s="47"/>
      <c r="D21" s="57" t="s">
        <v>48</v>
      </c>
      <c r="E21" s="121">
        <v>24975.0</v>
      </c>
      <c r="F21" s="221" t="s">
        <v>461</v>
      </c>
      <c r="G21" s="101">
        <f> -804112 + 408.7*2031</f>
        <v>25957.7</v>
      </c>
      <c r="H21" s="222">
        <f t="shared" si="7"/>
        <v>0.03934734735</v>
      </c>
      <c r="I21" s="223"/>
      <c r="J21" s="120" t="s">
        <v>462</v>
      </c>
      <c r="K21" s="101">
        <f> -3871999 + 1930*2031</f>
        <v>47831</v>
      </c>
      <c r="L21" s="221" t="s">
        <v>463</v>
      </c>
      <c r="M21" s="100">
        <f> -3969553 + 1980.1*2031 - 0.157*24975</f>
        <v>48109.025</v>
      </c>
      <c r="N21" s="223"/>
      <c r="O21" s="157">
        <v>28500.0</v>
      </c>
      <c r="P21" s="56">
        <v>32229.099999999627</v>
      </c>
      <c r="Q21" s="160">
        <v>0.13084561403507464</v>
      </c>
      <c r="R21" s="101">
        <f t="shared" si="8"/>
        <v>4469.437477</v>
      </c>
    </row>
    <row r="22">
      <c r="B22" s="120" t="s">
        <v>394</v>
      </c>
      <c r="C22" s="47"/>
      <c r="D22" s="57" t="s">
        <v>255</v>
      </c>
      <c r="E22" s="121">
        <v>20699.0</v>
      </c>
      <c r="F22" s="221" t="s">
        <v>464</v>
      </c>
      <c r="G22" s="101">
        <f> -839395 + 423*2031</f>
        <v>19718</v>
      </c>
      <c r="H22" s="222">
        <f t="shared" si="7"/>
        <v>0.04739359389</v>
      </c>
      <c r="I22" s="223"/>
      <c r="J22" s="224" t="s">
        <v>465</v>
      </c>
      <c r="K22" s="101">
        <f> - 5739830 + 2862*2031</f>
        <v>72892</v>
      </c>
      <c r="L22" s="221" t="s">
        <v>466</v>
      </c>
      <c r="M22" s="100">
        <f> -5890607 + 2939*2031 - 0.29*20699</f>
        <v>72499.29</v>
      </c>
      <c r="N22" s="223"/>
      <c r="O22" s="157">
        <v>44200.0</v>
      </c>
      <c r="P22" s="56">
        <v>44747.5</v>
      </c>
      <c r="Q22" s="160">
        <v>0.012386877828054298</v>
      </c>
      <c r="R22" s="101">
        <f t="shared" si="8"/>
        <v>6735.348384</v>
      </c>
    </row>
    <row r="23">
      <c r="B23" s="120" t="s">
        <v>394</v>
      </c>
      <c r="C23" s="47"/>
      <c r="D23" s="57" t="s">
        <v>323</v>
      </c>
      <c r="E23" s="121">
        <v>14348.0</v>
      </c>
      <c r="F23" s="221" t="s">
        <v>467</v>
      </c>
      <c r="G23" s="101">
        <f> -326514 + 167.6 *2031</f>
        <v>13881.6</v>
      </c>
      <c r="H23" s="222">
        <f t="shared" si="7"/>
        <v>0.03250627265</v>
      </c>
      <c r="I23" s="223"/>
      <c r="J23" s="224" t="s">
        <v>468</v>
      </c>
      <c r="K23" s="101">
        <f>-4531431 + 2264*2031</f>
        <v>66753</v>
      </c>
      <c r="L23" s="221" t="s">
        <v>469</v>
      </c>
      <c r="M23" s="100">
        <f>-4559398 + 2279.02*2031 - 0.1786*14348</f>
        <v>66729.0672</v>
      </c>
      <c r="N23" s="223"/>
      <c r="O23" s="86">
        <v>44200.0</v>
      </c>
      <c r="P23" s="56">
        <v>44276.242599999925</v>
      </c>
      <c r="Q23" s="160">
        <v>0.0017249457013557693</v>
      </c>
      <c r="R23" s="101">
        <f t="shared" si="8"/>
        <v>6199.281605</v>
      </c>
    </row>
    <row r="24">
      <c r="B24" s="120" t="s">
        <v>394</v>
      </c>
      <c r="C24" s="47"/>
      <c r="D24" s="57" t="s">
        <v>50</v>
      </c>
      <c r="E24" s="121">
        <v>13865.0</v>
      </c>
      <c r="F24" s="229" t="s">
        <v>470</v>
      </c>
      <c r="G24" s="101">
        <f> -240135 + 124.7*2031</f>
        <v>13130.7</v>
      </c>
      <c r="H24" s="222">
        <f t="shared" si="7"/>
        <v>0.05296069239</v>
      </c>
      <c r="I24" s="223"/>
      <c r="J24" s="224" t="s">
        <v>471</v>
      </c>
      <c r="K24" s="101">
        <f> -3939775 + 1963*2031</f>
        <v>47078</v>
      </c>
      <c r="L24" s="221" t="s">
        <v>472</v>
      </c>
      <c r="M24" s="100">
        <f> -4158404 + 2075*2031 - 0.619*13865</f>
        <v>47338.565</v>
      </c>
      <c r="N24" s="223"/>
      <c r="O24" s="157">
        <v>26400.0</v>
      </c>
      <c r="P24" s="56">
        <v>28168.872</v>
      </c>
      <c r="Q24" s="160">
        <v>0.06700272727272726</v>
      </c>
      <c r="R24" s="101">
        <f t="shared" si="8"/>
        <v>4397.859996</v>
      </c>
    </row>
    <row r="25">
      <c r="B25" s="120" t="s">
        <v>394</v>
      </c>
      <c r="C25" s="47"/>
      <c r="D25" s="57" t="s">
        <v>42</v>
      </c>
      <c r="E25" s="121">
        <v>73212.0</v>
      </c>
      <c r="F25" s="221" t="s">
        <v>473</v>
      </c>
      <c r="G25" s="56">
        <f>-3053059 +1541*2031</f>
        <v>76712</v>
      </c>
      <c r="H25" s="222">
        <f t="shared" si="7"/>
        <v>0.04780637054</v>
      </c>
      <c r="I25" s="223"/>
      <c r="J25" s="224" t="s">
        <v>474</v>
      </c>
      <c r="K25" s="101">
        <f> - 8630679 +4300*2031</f>
        <v>102621</v>
      </c>
      <c r="L25" s="221" t="s">
        <v>475</v>
      </c>
      <c r="M25" s="228">
        <f>-8960943 + 4466*2031- 0.091*73212</f>
        <v>102840.708</v>
      </c>
      <c r="N25" s="223"/>
      <c r="O25" s="157">
        <v>58600.0</v>
      </c>
      <c r="P25" s="56">
        <v>58525.598</v>
      </c>
      <c r="Q25" s="160">
        <v>0.001269658703071704</v>
      </c>
      <c r="R25" s="101">
        <f t="shared" si="8"/>
        <v>9554.134894</v>
      </c>
    </row>
    <row r="26">
      <c r="B26" s="120" t="s">
        <v>394</v>
      </c>
      <c r="C26" s="47"/>
      <c r="D26" s="57" t="s">
        <v>256</v>
      </c>
      <c r="E26" s="121">
        <v>12572.0</v>
      </c>
      <c r="F26" s="221" t="s">
        <v>476</v>
      </c>
      <c r="G26" s="101">
        <f> -226838 + 117.7*2031</f>
        <v>12210.7</v>
      </c>
      <c r="H26" s="222">
        <f t="shared" si="7"/>
        <v>0.02873846643</v>
      </c>
      <c r="I26" s="223"/>
      <c r="J26" s="224" t="s">
        <v>477</v>
      </c>
      <c r="K26" s="101">
        <f> -3829784 + 1912*2031</f>
        <v>53488</v>
      </c>
      <c r="L26" s="221" t="s">
        <v>478</v>
      </c>
      <c r="M26" s="100">
        <f> -3654781 + 1821.1*2031 + 0.78*12572</f>
        <v>53679.26</v>
      </c>
      <c r="N26" s="223"/>
      <c r="O26" s="157">
        <v>35000.0</v>
      </c>
      <c r="P26" s="56">
        <v>34554.09999999963</v>
      </c>
      <c r="Q26" s="160">
        <v>0.012740000000010644</v>
      </c>
      <c r="R26" s="101">
        <f t="shared" si="8"/>
        <v>4986.924935</v>
      </c>
    </row>
    <row r="27">
      <c r="B27" s="120" t="s">
        <v>394</v>
      </c>
      <c r="C27" s="47"/>
      <c r="D27" s="57" t="s">
        <v>252</v>
      </c>
      <c r="E27" s="122">
        <v>8278.0</v>
      </c>
      <c r="F27" s="221" t="s">
        <v>479</v>
      </c>
      <c r="G27" s="101">
        <f> -101886 + 54.15*2031</f>
        <v>8092.65</v>
      </c>
      <c r="H27" s="222">
        <f t="shared" si="7"/>
        <v>0.02239067408</v>
      </c>
      <c r="I27" s="223"/>
      <c r="J27" s="224" t="s">
        <v>480</v>
      </c>
      <c r="K27" s="101">
        <f> -28290558 + 14105*2031</f>
        <v>356697</v>
      </c>
      <c r="L27" s="221" t="s">
        <v>481</v>
      </c>
      <c r="M27" s="100">
        <f> -31117591 + 15611*2031 -28.5*8278</f>
        <v>352427</v>
      </c>
      <c r="N27" s="223"/>
      <c r="O27" s="86">
        <v>203200.0</v>
      </c>
      <c r="P27" s="56">
        <v>210937.5</v>
      </c>
      <c r="Q27" s="160">
        <v>0.038078248031496065</v>
      </c>
      <c r="R27" s="101">
        <f t="shared" si="8"/>
        <v>32741.26719</v>
      </c>
    </row>
    <row r="28">
      <c r="B28" s="120" t="s">
        <v>394</v>
      </c>
      <c r="C28" s="47"/>
      <c r="D28" s="57" t="s">
        <v>331</v>
      </c>
      <c r="E28" s="122">
        <v>17717.0</v>
      </c>
      <c r="F28" s="221" t="s">
        <v>482</v>
      </c>
      <c r="G28" s="101">
        <f>-322395 + 167.3*2031</f>
        <v>17391.3</v>
      </c>
      <c r="H28" s="222">
        <f t="shared" si="7"/>
        <v>0.0183834735</v>
      </c>
      <c r="I28" s="223"/>
      <c r="J28" s="224" t="s">
        <v>483</v>
      </c>
      <c r="K28" s="101">
        <f> -4928887 + 2459*2031</f>
        <v>65342</v>
      </c>
      <c r="L28" s="221" t="s">
        <v>484</v>
      </c>
      <c r="M28" s="100">
        <f> -4464998 + 2220*2031 + 1.22*17717</f>
        <v>65436.74</v>
      </c>
      <c r="N28" s="223"/>
      <c r="O28" s="86">
        <v>40000.0</v>
      </c>
      <c r="P28" s="56">
        <v>40724.759999999995</v>
      </c>
      <c r="Q28" s="160">
        <v>0.018118999999999868</v>
      </c>
      <c r="R28" s="101">
        <f t="shared" si="8"/>
        <v>6079.221479</v>
      </c>
    </row>
    <row r="29">
      <c r="B29" s="120" t="s">
        <v>394</v>
      </c>
      <c r="C29" s="47"/>
      <c r="D29" s="57" t="s">
        <v>243</v>
      </c>
      <c r="E29" s="121">
        <v>10038.0</v>
      </c>
      <c r="F29" s="221" t="s">
        <v>485</v>
      </c>
      <c r="G29" s="56">
        <f>-204065 + 105.3*2031</f>
        <v>9799.3</v>
      </c>
      <c r="H29" s="222">
        <f t="shared" si="7"/>
        <v>0.02377963738</v>
      </c>
      <c r="I29" s="223"/>
      <c r="J29" s="224" t="s">
        <v>486</v>
      </c>
      <c r="K29" s="101">
        <f> -9646138 + 4803*2031</f>
        <v>108755</v>
      </c>
      <c r="L29" s="221" t="s">
        <v>487</v>
      </c>
      <c r="M29" s="100">
        <f> -11645354 + 5837*2031 - 10.28*10038</f>
        <v>106402.36</v>
      </c>
      <c r="N29" s="223"/>
      <c r="O29" s="157">
        <v>55000.0</v>
      </c>
      <c r="P29" s="56">
        <v>58312.36</v>
      </c>
      <c r="Q29" s="160">
        <v>0.060224727272727284</v>
      </c>
      <c r="R29" s="101">
        <f t="shared" si="8"/>
        <v>9885.020438</v>
      </c>
    </row>
    <row r="30">
      <c r="B30" s="120" t="s">
        <v>394</v>
      </c>
      <c r="C30" s="47"/>
      <c r="D30" s="57" t="s">
        <v>44</v>
      </c>
      <c r="E30" s="121">
        <v>32538.0</v>
      </c>
      <c r="F30" s="221" t="s">
        <v>488</v>
      </c>
      <c r="G30" s="101">
        <f> -1374540 + 693.6*2031</f>
        <v>34161.6</v>
      </c>
      <c r="H30" s="222">
        <f t="shared" si="7"/>
        <v>0.04989858012</v>
      </c>
      <c r="I30" s="223"/>
      <c r="J30" s="224" t="s">
        <v>489</v>
      </c>
      <c r="K30" s="101">
        <f> -7662557 + 3820*2031</f>
        <v>95863</v>
      </c>
      <c r="L30" s="221" t="s">
        <v>490</v>
      </c>
      <c r="M30" s="100">
        <f> -5895903 + 2929*2031 + 1.24*32538</f>
        <v>93243.12</v>
      </c>
      <c r="N30" s="223"/>
      <c r="O30" s="157">
        <v>53400.0</v>
      </c>
      <c r="P30" s="56">
        <v>61184.2</v>
      </c>
      <c r="Q30" s="160">
        <v>0.1457715355805243</v>
      </c>
      <c r="R30" s="101">
        <f t="shared" si="8"/>
        <v>8662.497213</v>
      </c>
    </row>
    <row r="31">
      <c r="B31" s="120" t="s">
        <v>394</v>
      </c>
      <c r="C31" s="47"/>
      <c r="D31" s="57" t="s">
        <v>342</v>
      </c>
      <c r="E31" s="121">
        <v>14291.0</v>
      </c>
      <c r="F31" s="221" t="s">
        <v>491</v>
      </c>
      <c r="G31" s="101">
        <f> -717856 + 360.1*2031</f>
        <v>13507.1</v>
      </c>
      <c r="H31" s="222">
        <f t="shared" si="7"/>
        <v>0.0548527045</v>
      </c>
      <c r="I31" s="223"/>
      <c r="J31" s="224" t="s">
        <v>477</v>
      </c>
      <c r="K31" s="101">
        <f> -3829784 + 1912*2031</f>
        <v>53488</v>
      </c>
      <c r="L31" s="221" t="s">
        <v>492</v>
      </c>
      <c r="M31" s="100">
        <f> -3571724 + 1782.5*2031 + 0.362*14291</f>
        <v>53706.842</v>
      </c>
      <c r="N31" s="223"/>
      <c r="O31" s="157">
        <v>35000.0</v>
      </c>
      <c r="P31" s="56">
        <v>34391.126</v>
      </c>
      <c r="Q31" s="160">
        <v>0.017396400000000097</v>
      </c>
      <c r="R31" s="101">
        <f t="shared" si="8"/>
        <v>4989.487365</v>
      </c>
    </row>
    <row r="32">
      <c r="B32" s="120" t="s">
        <v>394</v>
      </c>
      <c r="C32" s="47"/>
      <c r="D32" s="57" t="s">
        <v>27</v>
      </c>
      <c r="E32" s="121">
        <v>42773.0</v>
      </c>
      <c r="F32" s="221" t="s">
        <v>493</v>
      </c>
      <c r="G32" s="101">
        <f> -1094066 + 560.4*2031</f>
        <v>44106.4</v>
      </c>
      <c r="H32" s="222">
        <f t="shared" si="7"/>
        <v>0.03117387137</v>
      </c>
      <c r="I32" s="223"/>
      <c r="J32" s="224" t="s">
        <v>494</v>
      </c>
      <c r="K32" s="101">
        <f> -7965355 + 3971*2031</f>
        <v>99746</v>
      </c>
      <c r="L32" s="221" t="s">
        <v>495</v>
      </c>
      <c r="M32" s="100">
        <f> -7191267 + 3572*2031 +0.8*42773</f>
        <v>97683.4</v>
      </c>
      <c r="N32" s="223"/>
      <c r="O32" s="157">
        <v>54000.0</v>
      </c>
      <c r="P32" s="56">
        <v>60660.200000000004</v>
      </c>
      <c r="Q32" s="160">
        <v>0.12333703703703712</v>
      </c>
      <c r="R32" s="101">
        <f t="shared" si="8"/>
        <v>9075.00929</v>
      </c>
    </row>
    <row r="33">
      <c r="B33" s="120" t="s">
        <v>394</v>
      </c>
      <c r="C33" s="47"/>
      <c r="D33" s="57" t="s">
        <v>54</v>
      </c>
      <c r="E33" s="121">
        <v>23914.0</v>
      </c>
      <c r="F33" s="221" t="s">
        <v>496</v>
      </c>
      <c r="G33" s="101">
        <f> -588282 + 301.4*2031</f>
        <v>23861.4</v>
      </c>
      <c r="H33" s="222">
        <f t="shared" si="7"/>
        <v>0.002199548382</v>
      </c>
      <c r="I33" s="223"/>
      <c r="J33" s="224" t="s">
        <v>497</v>
      </c>
      <c r="K33" s="101">
        <f> -5275625 + 2628*2031</f>
        <v>61843</v>
      </c>
      <c r="L33" s="221" t="s">
        <v>498</v>
      </c>
      <c r="M33" s="100">
        <f> -5817120 + 2907.6*2031 - 1.094*23914</f>
        <v>62053.684</v>
      </c>
      <c r="N33" s="223"/>
      <c r="O33" s="157">
        <v>35300.0</v>
      </c>
      <c r="P33" s="56">
        <v>34961.10599999962</v>
      </c>
      <c r="Q33" s="160">
        <v>0.009600396600577297</v>
      </c>
      <c r="R33" s="101">
        <f t="shared" si="8"/>
        <v>5764.927908</v>
      </c>
    </row>
    <row r="34">
      <c r="B34" s="120" t="s">
        <v>394</v>
      </c>
      <c r="C34" s="50"/>
      <c r="D34" s="57" t="s">
        <v>332</v>
      </c>
      <c r="E34" s="122">
        <v>8919.0</v>
      </c>
      <c r="F34" s="221" t="s">
        <v>499</v>
      </c>
      <c r="G34" s="101">
        <f> -38783 + 23.41*2031</f>
        <v>8762.71</v>
      </c>
      <c r="H34" s="222">
        <f t="shared" si="7"/>
        <v>0.01752326494</v>
      </c>
      <c r="I34" s="223"/>
      <c r="J34" s="224" t="s">
        <v>500</v>
      </c>
      <c r="K34" s="101">
        <f> -5399262 +2690*2031</f>
        <v>64128</v>
      </c>
      <c r="L34" s="221" t="s">
        <v>501</v>
      </c>
      <c r="M34" s="100">
        <f> -5472128 + 2734.8*2031 - 2.08*8919</f>
        <v>63699.28</v>
      </c>
      <c r="N34" s="223"/>
      <c r="O34" s="86">
        <v>36200.0</v>
      </c>
      <c r="P34" s="56">
        <v>37237.36000000074</v>
      </c>
      <c r="Q34" s="160">
        <v>0.02865635359118074</v>
      </c>
      <c r="R34" s="101">
        <f t="shared" si="8"/>
        <v>5917.807507</v>
      </c>
    </row>
    <row r="35">
      <c r="B35" s="133"/>
      <c r="C35" s="134"/>
      <c r="D35" s="91"/>
      <c r="E35" s="91"/>
      <c r="F35" s="225"/>
      <c r="G35" s="164"/>
      <c r="H35" s="164"/>
      <c r="I35" s="223"/>
      <c r="J35" s="226"/>
      <c r="K35" s="164"/>
      <c r="L35" s="225"/>
      <c r="M35" s="90"/>
      <c r="N35" s="223"/>
      <c r="O35" s="134"/>
      <c r="P35" s="90"/>
      <c r="Q35" s="134"/>
      <c r="R35" s="90"/>
    </row>
    <row r="36">
      <c r="B36" s="120" t="s">
        <v>392</v>
      </c>
      <c r="C36" s="230" t="s">
        <v>395</v>
      </c>
      <c r="D36" s="57" t="s">
        <v>81</v>
      </c>
      <c r="E36" s="121">
        <v>18147.0</v>
      </c>
      <c r="F36" s="221" t="s">
        <v>502</v>
      </c>
      <c r="G36" s="101">
        <f>- 374407 + 193.5 *2031</f>
        <v>18591.5</v>
      </c>
      <c r="H36" s="222">
        <f t="shared" ref="H36:H45" si="9">ABS(E36-G36)/E36</f>
        <v>0.02449440679</v>
      </c>
      <c r="I36" s="223"/>
      <c r="J36" s="224" t="s">
        <v>503</v>
      </c>
      <c r="K36" s="101">
        <f>- 6013775 + 2996 *2031</f>
        <v>71101</v>
      </c>
      <c r="L36" s="221" t="s">
        <v>504</v>
      </c>
      <c r="M36" s="228">
        <f> -5700477 + 2834 *2031+ 0.81 *18147</f>
        <v>70076.07</v>
      </c>
      <c r="N36" s="223"/>
      <c r="O36" s="121">
        <v>35000.0</v>
      </c>
      <c r="P36" s="56">
        <f>  -5700477 + 2834 *2021+ 0.81 *18147</f>
        <v>41736.07</v>
      </c>
      <c r="Q36" s="231">
        <f>ABS(O36-P36)/O36</f>
        <v>0.1924591429</v>
      </c>
      <c r="R36" s="101">
        <f t="shared" ref="R36:R45" si="10">M36/10.764</f>
        <v>6510.225753</v>
      </c>
    </row>
    <row r="37">
      <c r="B37" s="120" t="s">
        <v>392</v>
      </c>
      <c r="C37" s="137"/>
      <c r="D37" s="57" t="s">
        <v>103</v>
      </c>
      <c r="E37" s="121">
        <v>19594.0</v>
      </c>
      <c r="F37" s="221" t="s">
        <v>505</v>
      </c>
      <c r="G37" s="101">
        <f>- 133757 + 75.4 *2031</f>
        <v>19380.4</v>
      </c>
      <c r="H37" s="222">
        <f t="shared" si="9"/>
        <v>0.01090129632</v>
      </c>
      <c r="I37" s="223"/>
      <c r="J37" s="224" t="s">
        <v>506</v>
      </c>
      <c r="K37" s="101">
        <f>- 5763367 + 2874 *2031</f>
        <v>73727</v>
      </c>
      <c r="L37" s="221" t="s">
        <v>507</v>
      </c>
      <c r="M37" s="100">
        <f>-5639124 + 2801*2031 + 1.26 *19594</f>
        <v>74395.44</v>
      </c>
      <c r="N37" s="223"/>
      <c r="O37" s="157">
        <v>45300.0</v>
      </c>
      <c r="P37" s="56">
        <v>46351.42</v>
      </c>
      <c r="Q37" s="160">
        <v>0.023210154525386276</v>
      </c>
      <c r="R37" s="101">
        <f t="shared" si="10"/>
        <v>6911.505017</v>
      </c>
    </row>
    <row r="38">
      <c r="B38" s="120" t="s">
        <v>392</v>
      </c>
      <c r="C38" s="47"/>
      <c r="D38" s="57" t="s">
        <v>106</v>
      </c>
      <c r="E38" s="121">
        <v>10355.0</v>
      </c>
      <c r="F38" s="221" t="s">
        <v>508</v>
      </c>
      <c r="G38" s="101">
        <f>41032 - 15.25 *2031</f>
        <v>10059.25</v>
      </c>
      <c r="H38" s="222">
        <f t="shared" si="9"/>
        <v>0.0285610816</v>
      </c>
      <c r="I38" s="223"/>
      <c r="J38" s="224" t="s">
        <v>509</v>
      </c>
      <c r="K38" s="101">
        <f>- 7944186 + 3955 *2031</f>
        <v>88419</v>
      </c>
      <c r="L38" s="221" t="s">
        <v>510</v>
      </c>
      <c r="M38" s="100">
        <f>-7679161 + 3818 *2031 + 0.74 *10355</f>
        <v>82859.7</v>
      </c>
      <c r="N38" s="223"/>
      <c r="O38" s="157">
        <v>40000.0</v>
      </c>
      <c r="P38" s="56">
        <v>44607.92</v>
      </c>
      <c r="Q38" s="160">
        <v>0.11519799999999995</v>
      </c>
      <c r="R38" s="101">
        <f t="shared" si="10"/>
        <v>7697.853958</v>
      </c>
    </row>
    <row r="39">
      <c r="B39" s="120" t="s">
        <v>392</v>
      </c>
      <c r="C39" s="47"/>
      <c r="D39" s="57" t="s">
        <v>65</v>
      </c>
      <c r="E39" s="122">
        <v>7034.0</v>
      </c>
      <c r="F39" s="221" t="s">
        <v>511</v>
      </c>
      <c r="G39" s="101">
        <f>- 32508 + 19.49 *2031</f>
        <v>7076.19</v>
      </c>
      <c r="H39" s="222">
        <f t="shared" si="9"/>
        <v>0.005998009667</v>
      </c>
      <c r="I39" s="223"/>
      <c r="J39" s="224" t="s">
        <v>512</v>
      </c>
      <c r="K39" s="101">
        <f>- 7086832 + 3534 *2031</f>
        <v>90722</v>
      </c>
      <c r="L39" s="221" t="s">
        <v>513</v>
      </c>
      <c r="M39" s="100">
        <f> -8937980 + 4643 *2031 - 56.9 *7034</f>
        <v>91718.4</v>
      </c>
      <c r="N39" s="223"/>
      <c r="O39" s="86">
        <v>50000.0</v>
      </c>
      <c r="P39" s="56">
        <v>45345.29999999999</v>
      </c>
      <c r="Q39" s="160">
        <v>0.09309400000000023</v>
      </c>
      <c r="R39" s="101">
        <f t="shared" si="10"/>
        <v>8520.847269</v>
      </c>
    </row>
    <row r="40">
      <c r="B40" s="120" t="s">
        <v>392</v>
      </c>
      <c r="C40" s="47"/>
      <c r="D40" s="57" t="s">
        <v>102</v>
      </c>
      <c r="E40" s="122">
        <v>6147.0</v>
      </c>
      <c r="F40" s="221" t="s">
        <v>514</v>
      </c>
      <c r="G40" s="101">
        <f>- 42575 + 23.98 *2031</f>
        <v>6128.38</v>
      </c>
      <c r="H40" s="222">
        <f t="shared" si="9"/>
        <v>0.003029119896</v>
      </c>
      <c r="I40" s="223"/>
      <c r="J40" s="224" t="s">
        <v>515</v>
      </c>
      <c r="K40" s="101">
        <f>- 3566705 + 1779 *2031</f>
        <v>46444</v>
      </c>
      <c r="L40" s="221" t="s">
        <v>516</v>
      </c>
      <c r="M40" s="100">
        <f>-3385342 + 1684 *2031 + 2.06 *6147</f>
        <v>47524.82</v>
      </c>
      <c r="N40" s="223"/>
      <c r="O40" s="86">
        <v>28100.0</v>
      </c>
      <c r="P40" s="56">
        <v>30637.440000000002</v>
      </c>
      <c r="Q40" s="160">
        <v>0.0903003558718862</v>
      </c>
      <c r="R40" s="101">
        <f t="shared" si="10"/>
        <v>4415.163508</v>
      </c>
    </row>
    <row r="41">
      <c r="B41" s="120" t="s">
        <v>392</v>
      </c>
      <c r="C41" s="47"/>
      <c r="D41" s="57" t="s">
        <v>78</v>
      </c>
      <c r="E41" s="121">
        <v>5530.0</v>
      </c>
      <c r="F41" s="221" t="s">
        <v>517</v>
      </c>
      <c r="G41" s="101">
        <f>- 94654 + 49.37 *2031</f>
        <v>5616.47</v>
      </c>
      <c r="H41" s="222">
        <f t="shared" si="9"/>
        <v>0.01563652803</v>
      </c>
      <c r="I41" s="223"/>
      <c r="J41" s="224" t="s">
        <v>518</v>
      </c>
      <c r="K41" s="101">
        <f>- 2705951 + 1353 *2031</f>
        <v>41992</v>
      </c>
      <c r="L41" s="221" t="s">
        <v>519</v>
      </c>
      <c r="M41" s="100">
        <f>-2186264 + 1081 *2031 + 5.87 *5530</f>
        <v>41708.1</v>
      </c>
      <c r="N41" s="223"/>
      <c r="O41" s="157">
        <v>26000.0</v>
      </c>
      <c r="P41" s="56">
        <v>29741.71</v>
      </c>
      <c r="Q41" s="160">
        <v>0.14391192307692305</v>
      </c>
      <c r="R41" s="101">
        <f t="shared" si="10"/>
        <v>3874.777035</v>
      </c>
    </row>
    <row r="42">
      <c r="B42" s="120" t="s">
        <v>392</v>
      </c>
      <c r="C42" s="47"/>
      <c r="D42" s="57" t="s">
        <v>86</v>
      </c>
      <c r="E42" s="122">
        <v>21828.0</v>
      </c>
      <c r="F42" s="221" t="s">
        <v>520</v>
      </c>
      <c r="G42" s="101">
        <f>- 481445 + 247.9 *2031</f>
        <v>22039.9</v>
      </c>
      <c r="H42" s="222">
        <f t="shared" si="9"/>
        <v>0.009707714862</v>
      </c>
      <c r="I42" s="223"/>
      <c r="J42" s="224" t="s">
        <v>521</v>
      </c>
      <c r="K42" s="101">
        <f>- 4048610 + 2023 *2031</f>
        <v>60103</v>
      </c>
      <c r="L42" s="221" t="s">
        <v>522</v>
      </c>
      <c r="M42" s="100">
        <f>-3994280 + 1994.8 *2031+ 0.133 *21828</f>
        <v>60061.924</v>
      </c>
      <c r="N42" s="223"/>
      <c r="O42" s="86">
        <v>40000.0</v>
      </c>
      <c r="P42" s="56">
        <v>40033.32599999981</v>
      </c>
      <c r="Q42" s="160">
        <v>8.331499999952939E-4</v>
      </c>
      <c r="R42" s="101">
        <f t="shared" si="10"/>
        <v>5579.888889</v>
      </c>
    </row>
    <row r="43">
      <c r="B43" s="120" t="s">
        <v>392</v>
      </c>
      <c r="C43" s="47"/>
      <c r="D43" s="57" t="s">
        <v>286</v>
      </c>
      <c r="E43" s="121">
        <v>7978.0</v>
      </c>
      <c r="F43" s="221" t="s">
        <v>523</v>
      </c>
      <c r="G43" s="101">
        <f>8080 - 0.27 *2031</f>
        <v>7531.63</v>
      </c>
      <c r="H43" s="222">
        <f t="shared" si="9"/>
        <v>0.05595011281</v>
      </c>
      <c r="I43" s="223"/>
      <c r="J43" s="224" t="s">
        <v>524</v>
      </c>
      <c r="K43" s="101">
        <f>- 10471068 + 5222 *2031</f>
        <v>134814</v>
      </c>
      <c r="L43" s="221" t="s">
        <v>525</v>
      </c>
      <c r="M43" s="228">
        <f> -10468336 + 5230 *2031 - 2.6*7978</f>
        <v>133051.2</v>
      </c>
      <c r="N43" s="223"/>
      <c r="O43" s="121">
        <v>74000.0</v>
      </c>
      <c r="P43" s="56">
        <f> -10468336 + 5230*2021 - 2.6*6809</f>
        <v>83790.6</v>
      </c>
      <c r="Q43" s="231">
        <f>ABS(O43-P43)/O43</f>
        <v>0.1323054054</v>
      </c>
      <c r="R43" s="101">
        <f t="shared" si="10"/>
        <v>12360.75808</v>
      </c>
    </row>
    <row r="44">
      <c r="B44" s="120" t="s">
        <v>392</v>
      </c>
      <c r="C44" s="47"/>
      <c r="D44" s="57" t="s">
        <v>90</v>
      </c>
      <c r="E44" s="121">
        <v>9500.0</v>
      </c>
      <c r="F44" s="221" t="s">
        <v>526</v>
      </c>
      <c r="G44" s="101">
        <f> - 170053 +88.55*2031</f>
        <v>9792.05</v>
      </c>
      <c r="H44" s="222">
        <f t="shared" si="9"/>
        <v>0.03074210526</v>
      </c>
      <c r="I44" s="223"/>
      <c r="J44" s="224" t="s">
        <v>527</v>
      </c>
      <c r="K44" s="101">
        <f>- 4257690 + 2122 *2031</f>
        <v>52092</v>
      </c>
      <c r="L44" s="221" t="s">
        <v>528</v>
      </c>
      <c r="M44" s="100">
        <f>-4218089 + 2102 *2031+ 0.18 *9500</f>
        <v>52783</v>
      </c>
      <c r="N44" s="223"/>
      <c r="O44" s="157">
        <v>30100.0</v>
      </c>
      <c r="P44" s="56">
        <v>31747.88</v>
      </c>
      <c r="Q44" s="160">
        <v>0.05474684385382063</v>
      </c>
      <c r="R44" s="101">
        <f t="shared" si="10"/>
        <v>4903.660349</v>
      </c>
    </row>
    <row r="45">
      <c r="B45" s="120" t="s">
        <v>392</v>
      </c>
      <c r="C45" s="50"/>
      <c r="D45" s="57" t="s">
        <v>76</v>
      </c>
      <c r="E45" s="121">
        <v>30197.0</v>
      </c>
      <c r="F45" s="221" t="s">
        <v>529</v>
      </c>
      <c r="G45" s="101">
        <f>- 1059970 + 537.3 *2031</f>
        <v>31286.3</v>
      </c>
      <c r="H45" s="222">
        <f t="shared" si="9"/>
        <v>0.03607311985</v>
      </c>
      <c r="I45" s="223"/>
      <c r="J45" s="224" t="s">
        <v>530</v>
      </c>
      <c r="K45" s="101">
        <f>- 9501837 + 4730 *2031</f>
        <v>104793</v>
      </c>
      <c r="L45" s="221" t="s">
        <v>531</v>
      </c>
      <c r="M45" s="100">
        <f>-9999377 + 4982 *2031- 0.436 *30197</f>
        <v>105899.108</v>
      </c>
      <c r="N45" s="223"/>
      <c r="O45" s="157">
        <v>55000.0</v>
      </c>
      <c r="P45" s="56">
        <v>56868.268</v>
      </c>
      <c r="Q45" s="160">
        <v>0.033968509090909024</v>
      </c>
      <c r="R45" s="101">
        <f t="shared" si="10"/>
        <v>9838.267187</v>
      </c>
    </row>
    <row r="46">
      <c r="B46" s="133"/>
      <c r="C46" s="134"/>
      <c r="D46" s="91"/>
      <c r="E46" s="91"/>
      <c r="F46" s="91"/>
      <c r="G46" s="164"/>
      <c r="H46" s="164"/>
      <c r="I46" s="223"/>
      <c r="J46" s="91"/>
      <c r="K46" s="91"/>
      <c r="L46" s="91"/>
      <c r="M46" s="93"/>
      <c r="N46" s="223"/>
      <c r="O46" s="134"/>
      <c r="P46" s="91"/>
      <c r="Q46" s="134"/>
      <c r="R46" s="91"/>
    </row>
    <row r="47">
      <c r="B47" s="120" t="s">
        <v>392</v>
      </c>
      <c r="C47" s="69" t="s">
        <v>396</v>
      </c>
      <c r="D47" s="57" t="s">
        <v>87</v>
      </c>
      <c r="E47" s="121">
        <v>18156.0</v>
      </c>
      <c r="F47" s="221" t="s">
        <v>532</v>
      </c>
      <c r="G47" s="101">
        <f>- 341308 + 177*2031</f>
        <v>18179</v>
      </c>
      <c r="H47" s="222">
        <f t="shared" ref="H47:H53" si="11">ABS(E47-G47)/E47</f>
        <v>0.001266798854</v>
      </c>
      <c r="I47" s="223"/>
      <c r="J47" s="224" t="s">
        <v>533</v>
      </c>
      <c r="K47" s="101">
        <f>- 2845046 + 1420 *2031</f>
        <v>38974</v>
      </c>
      <c r="L47" s="221" t="s">
        <v>534</v>
      </c>
      <c r="M47" s="100">
        <f>-2756678 + 1373 *2031+ 0.381 *18156</f>
        <v>38802.436</v>
      </c>
      <c r="N47" s="223"/>
      <c r="O47" s="157">
        <v>25000.0</v>
      </c>
      <c r="P47" s="56">
        <v>24929.561</v>
      </c>
      <c r="Q47" s="160">
        <v>0.0028175599999999395</v>
      </c>
      <c r="R47" s="101">
        <f t="shared" ref="R47:R53" si="12">M47/10.764</f>
        <v>3604.834262</v>
      </c>
    </row>
    <row r="48">
      <c r="B48" s="120" t="s">
        <v>392</v>
      </c>
      <c r="C48" s="137"/>
      <c r="D48" s="57" t="s">
        <v>358</v>
      </c>
      <c r="E48" s="121">
        <v>53547.0</v>
      </c>
      <c r="F48" s="221" t="s">
        <v>535</v>
      </c>
      <c r="G48" s="101">
        <f>- 3262492 + 1635 *2031</f>
        <v>58193</v>
      </c>
      <c r="H48" s="222">
        <f t="shared" si="11"/>
        <v>0.08676489813</v>
      </c>
      <c r="I48" s="223"/>
      <c r="J48" s="224" t="s">
        <v>536</v>
      </c>
      <c r="K48" s="101">
        <f> - 2306182 + 1151 *2031</f>
        <v>31499</v>
      </c>
      <c r="L48" s="221" t="s">
        <v>537</v>
      </c>
      <c r="M48" s="100">
        <f>-2268513 + 1131 *2031+ 0.04 *53547</f>
        <v>30689.88</v>
      </c>
      <c r="N48" s="223"/>
      <c r="O48" s="157">
        <v>20000.0</v>
      </c>
      <c r="P48" s="56">
        <v>19287.04</v>
      </c>
      <c r="Q48" s="160">
        <v>0.03564799999999996</v>
      </c>
      <c r="R48" s="101">
        <f t="shared" si="12"/>
        <v>2851.15942</v>
      </c>
    </row>
    <row r="49">
      <c r="B49" s="120" t="s">
        <v>392</v>
      </c>
      <c r="C49" s="47"/>
      <c r="D49" s="57" t="s">
        <v>85</v>
      </c>
      <c r="E49" s="121">
        <v>7767.0</v>
      </c>
      <c r="F49" s="221" t="s">
        <v>538</v>
      </c>
      <c r="G49" s="101">
        <f>- 46469 + 26.72 *2031</f>
        <v>7799.32</v>
      </c>
      <c r="H49" s="222">
        <f t="shared" si="11"/>
        <v>0.004161194799</v>
      </c>
      <c r="I49" s="223"/>
      <c r="J49" s="224" t="s">
        <v>539</v>
      </c>
      <c r="K49" s="101">
        <f>- 4351911 + 2169 *2031</f>
        <v>53328</v>
      </c>
      <c r="L49" s="221" t="s">
        <v>540</v>
      </c>
      <c r="M49" s="100">
        <f>-4595503 + 2304.2 *2031- 4 *7767</f>
        <v>53259.2</v>
      </c>
      <c r="N49" s="223"/>
      <c r="O49" s="157">
        <v>30100.0</v>
      </c>
      <c r="P49" s="56">
        <v>30225.199999999255</v>
      </c>
      <c r="Q49" s="160">
        <v>0.004159468438513453</v>
      </c>
      <c r="R49" s="101">
        <f t="shared" si="12"/>
        <v>4947.900409</v>
      </c>
    </row>
    <row r="50">
      <c r="B50" s="120" t="s">
        <v>392</v>
      </c>
      <c r="C50" s="47"/>
      <c r="D50" s="57" t="s">
        <v>114</v>
      </c>
      <c r="E50" s="121">
        <v>31740.0</v>
      </c>
      <c r="F50" s="221" t="s">
        <v>541</v>
      </c>
      <c r="G50" s="101">
        <f>- 1696946 + 852.3 *2031</f>
        <v>34075.3</v>
      </c>
      <c r="H50" s="222">
        <f t="shared" si="11"/>
        <v>0.07357592943</v>
      </c>
      <c r="I50" s="223"/>
      <c r="J50" s="224" t="s">
        <v>542</v>
      </c>
      <c r="K50" s="101">
        <f>- 6555036 + 3262 *2031</f>
        <v>70086</v>
      </c>
      <c r="L50" s="221" t="s">
        <v>543</v>
      </c>
      <c r="M50" s="100">
        <f>-5699106 + 2832 *2031+ 0.485 *31740</f>
        <v>68079.9</v>
      </c>
      <c r="N50" s="223"/>
      <c r="O50" s="157">
        <v>41900.0</v>
      </c>
      <c r="P50" s="56">
        <v>39160.44</v>
      </c>
      <c r="Q50" s="160">
        <v>0.06538329355608587</v>
      </c>
      <c r="R50" s="101">
        <f t="shared" si="12"/>
        <v>6324.777035</v>
      </c>
    </row>
    <row r="51">
      <c r="B51" s="120" t="s">
        <v>392</v>
      </c>
      <c r="C51" s="47"/>
      <c r="D51" s="57" t="s">
        <v>99</v>
      </c>
      <c r="E51" s="121">
        <v>24135.0</v>
      </c>
      <c r="F51" s="221" t="s">
        <v>544</v>
      </c>
      <c r="G51" s="101">
        <f>- 519605 + 267.8 *2031</f>
        <v>24296.8</v>
      </c>
      <c r="H51" s="222">
        <f t="shared" si="11"/>
        <v>0.006703956909</v>
      </c>
      <c r="I51" s="223"/>
      <c r="J51" s="224" t="s">
        <v>545</v>
      </c>
      <c r="K51" s="101">
        <f>- 5805479 + 2895 *2031</f>
        <v>74266</v>
      </c>
      <c r="L51" s="221" t="s">
        <v>546</v>
      </c>
      <c r="M51" s="100">
        <f>-6358407 + 3178 *2031- 0.9 *24135</f>
        <v>74389.5</v>
      </c>
      <c r="N51" s="223"/>
      <c r="O51" s="157">
        <v>45000.0</v>
      </c>
      <c r="P51" s="56">
        <v>43277.3</v>
      </c>
      <c r="Q51" s="160">
        <v>0.038282222222222155</v>
      </c>
      <c r="R51" s="101">
        <f t="shared" si="12"/>
        <v>6910.953177</v>
      </c>
    </row>
    <row r="52">
      <c r="B52" s="120" t="s">
        <v>392</v>
      </c>
      <c r="C52" s="47"/>
      <c r="D52" s="57" t="s">
        <v>178</v>
      </c>
      <c r="E52" s="122">
        <v>6057.0</v>
      </c>
      <c r="F52" s="221" t="s">
        <v>547</v>
      </c>
      <c r="G52" s="101">
        <f>- 121582 + 62.93 *2031</f>
        <v>6228.83</v>
      </c>
      <c r="H52" s="222">
        <f t="shared" si="11"/>
        <v>0.02836882945</v>
      </c>
      <c r="I52" s="223"/>
      <c r="J52" s="224" t="s">
        <v>548</v>
      </c>
      <c r="K52" s="101">
        <f>- 9325630 + 4650 *2031</f>
        <v>118520</v>
      </c>
      <c r="L52" s="221" t="s">
        <v>549</v>
      </c>
      <c r="M52" s="100">
        <f>-8671224 + 4312 *2031+ 5 *6057</f>
        <v>116733</v>
      </c>
      <c r="N52" s="223"/>
      <c r="O52" s="86">
        <v>65000.0</v>
      </c>
      <c r="P52" s="56">
        <v>73078.0</v>
      </c>
      <c r="Q52" s="160">
        <v>0.12427692307692308</v>
      </c>
      <c r="R52" s="101">
        <f t="shared" si="12"/>
        <v>10844.76031</v>
      </c>
    </row>
    <row r="53">
      <c r="B53" s="120" t="s">
        <v>392</v>
      </c>
      <c r="C53" s="50"/>
      <c r="D53" s="57" t="s">
        <v>83</v>
      </c>
      <c r="E53" s="121">
        <v>3905.0</v>
      </c>
      <c r="F53" s="221" t="s">
        <v>550</v>
      </c>
      <c r="G53" s="101">
        <f>- 21267 + 12.4 *2031</f>
        <v>3917.4</v>
      </c>
      <c r="H53" s="222">
        <f t="shared" si="11"/>
        <v>0.003175416133</v>
      </c>
      <c r="I53" s="223"/>
      <c r="J53" s="224" t="s">
        <v>551</v>
      </c>
      <c r="K53" s="101">
        <f>- 6518654 + 3251 *2031</f>
        <v>84127</v>
      </c>
      <c r="L53" s="221" t="s">
        <v>552</v>
      </c>
      <c r="M53" s="100">
        <f>-7075883 + 3569 *2031- 22.7 *3905</f>
        <v>84112.5</v>
      </c>
      <c r="N53" s="223"/>
      <c r="O53" s="157">
        <v>49000.0</v>
      </c>
      <c r="P53" s="56">
        <v>48513.3</v>
      </c>
      <c r="Q53" s="160">
        <v>0.00993265306122443</v>
      </c>
      <c r="R53" s="101">
        <f t="shared" si="12"/>
        <v>7814.241918</v>
      </c>
    </row>
    <row r="54">
      <c r="B54" s="133"/>
      <c r="C54" s="134"/>
      <c r="D54" s="91"/>
      <c r="E54" s="91"/>
      <c r="F54" s="91"/>
      <c r="G54" s="164"/>
      <c r="H54" s="164"/>
      <c r="I54" s="223"/>
      <c r="J54" s="91"/>
      <c r="K54" s="91"/>
      <c r="L54" s="91"/>
      <c r="M54" s="93"/>
      <c r="N54" s="223"/>
      <c r="O54" s="134"/>
      <c r="P54" s="91"/>
      <c r="Q54" s="134"/>
      <c r="R54" s="91"/>
    </row>
    <row r="55">
      <c r="B55" s="120" t="s">
        <v>392</v>
      </c>
      <c r="C55" s="69" t="s">
        <v>397</v>
      </c>
      <c r="D55" s="60" t="s">
        <v>262</v>
      </c>
      <c r="E55" s="121">
        <v>26994.0</v>
      </c>
      <c r="F55" s="221" t="s">
        <v>553</v>
      </c>
      <c r="G55" s="101">
        <f> -1708849 + 854.1*2031</f>
        <v>25828.1</v>
      </c>
      <c r="H55" s="222">
        <f t="shared" ref="H55:H142" si="13">ABS(E55-G55)/E55</f>
        <v>0.0431910795</v>
      </c>
      <c r="I55" s="223"/>
      <c r="J55" s="224" t="s">
        <v>554</v>
      </c>
      <c r="K55" s="101">
        <f> -10188275 + 5088*2031</f>
        <v>145453</v>
      </c>
      <c r="L55" s="221" t="s">
        <v>555</v>
      </c>
      <c r="M55" s="100">
        <f> -11229596 + 5608*2031 - 0.6*26994</f>
        <v>144055.6</v>
      </c>
      <c r="N55" s="223"/>
      <c r="O55" s="157">
        <v>90420.0</v>
      </c>
      <c r="P55" s="56">
        <v>93872.4</v>
      </c>
      <c r="Q55" s="160">
        <v>0.038181818181818115</v>
      </c>
      <c r="R55" s="101">
        <f t="shared" ref="R55:R142" si="14">M55/10.764</f>
        <v>13383.09179</v>
      </c>
    </row>
    <row r="56">
      <c r="B56" s="120" t="s">
        <v>392</v>
      </c>
      <c r="C56" s="137"/>
      <c r="D56" s="60" t="s">
        <v>172</v>
      </c>
      <c r="E56" s="121">
        <v>3492.0</v>
      </c>
      <c r="F56" s="221" t="s">
        <v>556</v>
      </c>
      <c r="G56" s="101">
        <f> -5094 + 4.222*2031</f>
        <v>3480.882</v>
      </c>
      <c r="H56" s="222">
        <f t="shared" si="13"/>
        <v>0.003183848797</v>
      </c>
      <c r="I56" s="223"/>
      <c r="J56" s="224" t="s">
        <v>557</v>
      </c>
      <c r="K56" s="101">
        <f> -6586121 + 3286*2031</f>
        <v>87745</v>
      </c>
      <c r="L56" s="221" t="s">
        <v>558</v>
      </c>
      <c r="M56" s="100">
        <f> - 6647740 + 3352*2031 -21*3492</f>
        <v>86840</v>
      </c>
      <c r="N56" s="223"/>
      <c r="O56" s="157">
        <v>49000.0</v>
      </c>
      <c r="P56" s="56">
        <v>53278.0</v>
      </c>
      <c r="Q56" s="160">
        <v>0.08730612244897959</v>
      </c>
      <c r="R56" s="101">
        <f t="shared" si="14"/>
        <v>8067.63285</v>
      </c>
    </row>
    <row r="57">
      <c r="B57" s="120" t="s">
        <v>392</v>
      </c>
      <c r="C57" s="47"/>
      <c r="D57" s="20" t="s">
        <v>143</v>
      </c>
      <c r="E57" s="138">
        <v>17715.0</v>
      </c>
      <c r="F57" s="221" t="s">
        <v>559</v>
      </c>
      <c r="G57" s="101">
        <f> -529436 + 269.1*2031</f>
        <v>17106.1</v>
      </c>
      <c r="H57" s="222">
        <f t="shared" si="13"/>
        <v>0.03437200113</v>
      </c>
      <c r="I57" s="223"/>
      <c r="J57" s="224" t="s">
        <v>560</v>
      </c>
      <c r="K57" s="101">
        <f> -47012559 + 23400*2031</f>
        <v>512841</v>
      </c>
      <c r="L57" s="221" t="s">
        <v>561</v>
      </c>
      <c r="M57" s="100">
        <f> -47319730 + 23556*2031 - 0.6*17715</f>
        <v>511877</v>
      </c>
      <c r="N57" s="223"/>
      <c r="O57" s="157">
        <v>270000.0</v>
      </c>
      <c r="P57" s="56">
        <v>278058.8</v>
      </c>
      <c r="Q57" s="160">
        <v>0.029847407407407364</v>
      </c>
      <c r="R57" s="101">
        <f t="shared" si="14"/>
        <v>47554.53363</v>
      </c>
    </row>
    <row r="58">
      <c r="B58" s="120" t="s">
        <v>392</v>
      </c>
      <c r="C58" s="47"/>
      <c r="D58" s="60" t="s">
        <v>193</v>
      </c>
      <c r="E58" s="121">
        <v>5988.0</v>
      </c>
      <c r="F58" s="221" t="s">
        <v>562</v>
      </c>
      <c r="G58" s="56">
        <f>-2511 + 4.16*2031</f>
        <v>5937.96</v>
      </c>
      <c r="H58" s="222">
        <f t="shared" si="13"/>
        <v>0.008356713427</v>
      </c>
      <c r="I58" s="223"/>
      <c r="J58" s="224" t="s">
        <v>563</v>
      </c>
      <c r="K58" s="101">
        <f> -4164256 + 2094*2031</f>
        <v>88658</v>
      </c>
      <c r="L58" s="221" t="s">
        <v>564</v>
      </c>
      <c r="M58" s="100">
        <f> -4247368 + 2188*2031 -18.02*5988</f>
        <v>88556.24</v>
      </c>
      <c r="N58" s="223"/>
      <c r="O58" s="157">
        <v>64400.0</v>
      </c>
      <c r="P58" s="56">
        <v>66982.58</v>
      </c>
      <c r="Q58" s="160">
        <v>0.04010217391304351</v>
      </c>
      <c r="R58" s="101">
        <f t="shared" si="14"/>
        <v>8227.075437</v>
      </c>
    </row>
    <row r="59">
      <c r="B59" s="120" t="s">
        <v>392</v>
      </c>
      <c r="C59" s="47"/>
      <c r="D59" s="60" t="s">
        <v>167</v>
      </c>
      <c r="E59" s="122">
        <v>2718.0</v>
      </c>
      <c r="F59" s="221" t="s">
        <v>565</v>
      </c>
      <c r="G59" s="101">
        <f> 1559 + 0.562*2031</f>
        <v>2700.422</v>
      </c>
      <c r="H59" s="222">
        <f t="shared" si="13"/>
        <v>0.006467255335</v>
      </c>
      <c r="I59" s="223"/>
      <c r="J59" s="224" t="s">
        <v>566</v>
      </c>
      <c r="K59" s="101">
        <f> -14129466 + 7053*2031</f>
        <v>195177</v>
      </c>
      <c r="L59" s="221" t="s">
        <v>567</v>
      </c>
      <c r="M59" s="100">
        <f> -14113146 + 6990*2031 + 42*2718</f>
        <v>197700</v>
      </c>
      <c r="N59" s="223"/>
      <c r="O59" s="157">
        <v>120000.0</v>
      </c>
      <c r="P59" s="56">
        <v>127086.0</v>
      </c>
      <c r="Q59" s="160">
        <v>0.05905</v>
      </c>
      <c r="R59" s="101">
        <f t="shared" si="14"/>
        <v>18366.77815</v>
      </c>
    </row>
    <row r="60">
      <c r="B60" s="120" t="s">
        <v>398</v>
      </c>
      <c r="C60" s="47"/>
      <c r="D60" s="60" t="s">
        <v>315</v>
      </c>
      <c r="E60" s="122">
        <v>2923.0</v>
      </c>
      <c r="F60" s="221" t="s">
        <v>568</v>
      </c>
      <c r="G60" s="101">
        <f> -11345 + 6.997*2031</f>
        <v>2865.907</v>
      </c>
      <c r="H60" s="222">
        <f t="shared" si="13"/>
        <v>0.0195323298</v>
      </c>
      <c r="I60" s="223"/>
      <c r="J60" s="224" t="s">
        <v>569</v>
      </c>
      <c r="K60" s="101">
        <f> -2719493 + 1371*2031</f>
        <v>65008</v>
      </c>
      <c r="L60" s="221" t="s">
        <v>570</v>
      </c>
      <c r="M60" s="100">
        <f> -2776948 + 1397.7*2031 + 1.11*2923</f>
        <v>65025.23</v>
      </c>
      <c r="N60" s="223"/>
      <c r="O60" s="86">
        <v>51000.0</v>
      </c>
      <c r="P60" s="56">
        <v>50871.74000000019</v>
      </c>
      <c r="Q60" s="160">
        <v>0.0025149019607806442</v>
      </c>
      <c r="R60" s="101">
        <f t="shared" si="14"/>
        <v>6040.991267</v>
      </c>
    </row>
    <row r="61">
      <c r="B61" s="120" t="s">
        <v>392</v>
      </c>
      <c r="C61" s="47"/>
      <c r="D61" s="60" t="s">
        <v>191</v>
      </c>
      <c r="E61" s="121">
        <v>3026.0</v>
      </c>
      <c r="F61" s="221" t="s">
        <v>571</v>
      </c>
      <c r="G61" s="101">
        <f> -2382 + 2.656*2031</f>
        <v>3012.336</v>
      </c>
      <c r="H61" s="222">
        <f t="shared" si="13"/>
        <v>0.004515532056</v>
      </c>
      <c r="I61" s="223"/>
      <c r="J61" s="224" t="s">
        <v>572</v>
      </c>
      <c r="K61" s="101">
        <f> -5407273 + 2696*2031</f>
        <v>68303</v>
      </c>
      <c r="L61" s="221" t="s">
        <v>573</v>
      </c>
      <c r="M61" s="228">
        <f> - 5402852 + 2704*2031- 6.9*3026</f>
        <v>68092.6</v>
      </c>
      <c r="N61" s="223"/>
      <c r="O61" s="157">
        <v>40300.0</v>
      </c>
      <c r="P61" s="56">
        <v>41135.399999999994</v>
      </c>
      <c r="Q61" s="160">
        <v>0.020729528535980004</v>
      </c>
      <c r="R61" s="101">
        <f t="shared" si="14"/>
        <v>6325.956893</v>
      </c>
    </row>
    <row r="62">
      <c r="B62" s="120" t="s">
        <v>398</v>
      </c>
      <c r="C62" s="47"/>
      <c r="D62" s="60" t="s">
        <v>273</v>
      </c>
      <c r="E62" s="122">
        <v>4682.0</v>
      </c>
      <c r="F62" s="221" t="s">
        <v>574</v>
      </c>
      <c r="G62" s="101">
        <f> 599 + 1.992*2031</f>
        <v>4644.752</v>
      </c>
      <c r="H62" s="222">
        <f t="shared" si="13"/>
        <v>0.007955574541</v>
      </c>
      <c r="I62" s="223"/>
      <c r="J62" s="224" t="s">
        <v>575</v>
      </c>
      <c r="K62" s="101">
        <f> -13276537 + 6634*2031</f>
        <v>197117</v>
      </c>
      <c r="L62" s="221" t="s">
        <v>576</v>
      </c>
      <c r="M62" s="100">
        <f> -13174217 + 6707*2031 - 53.8*4682</f>
        <v>195808.4</v>
      </c>
      <c r="N62" s="223"/>
      <c r="O62" s="86">
        <v>125000.0</v>
      </c>
      <c r="P62" s="56">
        <v>131374.6</v>
      </c>
      <c r="Q62" s="160">
        <v>0.050996800000000043</v>
      </c>
      <c r="R62" s="101">
        <f t="shared" si="14"/>
        <v>18191.04422</v>
      </c>
    </row>
    <row r="63">
      <c r="B63" s="120" t="s">
        <v>392</v>
      </c>
      <c r="C63" s="47"/>
      <c r="D63" s="20" t="s">
        <v>148</v>
      </c>
      <c r="E63" s="121">
        <v>3615.0</v>
      </c>
      <c r="F63" s="221" t="s">
        <v>577</v>
      </c>
      <c r="G63" s="101">
        <f> -5866 + 4.66*2031</f>
        <v>3598.46</v>
      </c>
      <c r="H63" s="222">
        <f t="shared" si="13"/>
        <v>0.00457538036</v>
      </c>
      <c r="I63" s="223"/>
      <c r="J63" s="224" t="s">
        <v>578</v>
      </c>
      <c r="K63" s="101">
        <f> -13332507 + 6647*2031</f>
        <v>167550</v>
      </c>
      <c r="L63" s="221" t="s">
        <v>579</v>
      </c>
      <c r="M63" s="100">
        <f> -13345296 + 6644*2031 + 5.2*3615</f>
        <v>167466</v>
      </c>
      <c r="N63" s="223"/>
      <c r="O63" s="157">
        <v>100000.0</v>
      </c>
      <c r="P63" s="56">
        <v>100974.0</v>
      </c>
      <c r="Q63" s="160">
        <v>0.00974</v>
      </c>
      <c r="R63" s="101">
        <f t="shared" si="14"/>
        <v>15557.97101</v>
      </c>
    </row>
    <row r="64">
      <c r="B64" s="120" t="s">
        <v>392</v>
      </c>
      <c r="C64" s="47"/>
      <c r="D64" s="20" t="s">
        <v>264</v>
      </c>
      <c r="E64" s="122">
        <v>3388.0</v>
      </c>
      <c r="F64" s="221" t="s">
        <v>580</v>
      </c>
      <c r="G64" s="101">
        <f> -44990 + 23.82*2031</f>
        <v>3388.42</v>
      </c>
      <c r="H64" s="222">
        <f t="shared" si="13"/>
        <v>0.0001239669421</v>
      </c>
      <c r="I64" s="223"/>
      <c r="J64" s="224" t="s">
        <v>581</v>
      </c>
      <c r="K64" s="101">
        <f> -6112787 + 3052*2031</f>
        <v>85825</v>
      </c>
      <c r="L64" s="221" t="s">
        <v>582</v>
      </c>
      <c r="M64" s="100">
        <f> -6814645 + 3422*2031 - 14.5*3388</f>
        <v>86311</v>
      </c>
      <c r="N64" s="223"/>
      <c r="O64" s="86">
        <v>52200.0</v>
      </c>
      <c r="P64" s="56">
        <v>53207.5</v>
      </c>
      <c r="Q64" s="160">
        <v>0.019300766283524905</v>
      </c>
      <c r="R64" s="101">
        <f t="shared" si="14"/>
        <v>8018.487551</v>
      </c>
    </row>
    <row r="65">
      <c r="B65" s="120" t="s">
        <v>392</v>
      </c>
      <c r="C65" s="47"/>
      <c r="D65" s="60" t="s">
        <v>279</v>
      </c>
      <c r="E65" s="121">
        <v>3494.0</v>
      </c>
      <c r="F65" s="221" t="s">
        <v>583</v>
      </c>
      <c r="G65" s="101">
        <f> -52482 + 27.58*2031</f>
        <v>3532.98</v>
      </c>
      <c r="H65" s="222">
        <f t="shared" si="13"/>
        <v>0.01115626789</v>
      </c>
      <c r="I65" s="223"/>
      <c r="J65" s="224" t="s">
        <v>584</v>
      </c>
      <c r="K65" s="101">
        <f> -11244205 + 5612*2031</f>
        <v>153767</v>
      </c>
      <c r="L65" s="221" t="s">
        <v>585</v>
      </c>
      <c r="M65" s="100">
        <f> -14166525 + 7145*2031 - 53.8*3494</f>
        <v>156992.8</v>
      </c>
      <c r="N65" s="223"/>
      <c r="O65" s="157">
        <v>89650.0</v>
      </c>
      <c r="P65" s="56">
        <v>87425.80000000002</v>
      </c>
      <c r="Q65" s="160">
        <v>0.02480981595092005</v>
      </c>
      <c r="R65" s="101">
        <f t="shared" si="14"/>
        <v>14584.98699</v>
      </c>
    </row>
    <row r="66">
      <c r="B66" s="120" t="s">
        <v>392</v>
      </c>
      <c r="C66" s="47"/>
      <c r="D66" s="60" t="s">
        <v>165</v>
      </c>
      <c r="E66" s="121">
        <v>1340.0</v>
      </c>
      <c r="F66" s="232" t="s">
        <v>586</v>
      </c>
      <c r="G66" s="233">
        <f> -19526 + 10.26*2031</f>
        <v>1312.06</v>
      </c>
      <c r="H66" s="222">
        <f t="shared" si="13"/>
        <v>0.02085074627</v>
      </c>
      <c r="I66" s="223"/>
      <c r="J66" s="120" t="s">
        <v>587</v>
      </c>
      <c r="K66" s="80">
        <f>-6021791 + 3002*2031</f>
        <v>75271</v>
      </c>
      <c r="L66" s="221" t="s">
        <v>588</v>
      </c>
      <c r="M66" s="100">
        <f> -6152624 + 3070*2031 - 5.83*1340</f>
        <v>74733.8</v>
      </c>
      <c r="N66" s="223"/>
      <c r="O66" s="157">
        <v>45600.0</v>
      </c>
      <c r="P66" s="56">
        <v>44290.32</v>
      </c>
      <c r="Q66" s="160">
        <v>0.028721052631578953</v>
      </c>
      <c r="R66" s="101">
        <f t="shared" si="14"/>
        <v>6942.939428</v>
      </c>
    </row>
    <row r="67">
      <c r="B67" s="120" t="s">
        <v>392</v>
      </c>
      <c r="C67" s="47"/>
      <c r="D67" s="60" t="s">
        <v>274</v>
      </c>
      <c r="E67" s="122">
        <v>4056.0</v>
      </c>
      <c r="F67" s="221" t="s">
        <v>589</v>
      </c>
      <c r="G67" s="101">
        <f> 15283 - 5.55*2031</f>
        <v>4010.95</v>
      </c>
      <c r="H67" s="222">
        <f t="shared" si="13"/>
        <v>0.01110700197</v>
      </c>
      <c r="I67" s="223"/>
      <c r="J67" s="224" t="s">
        <v>566</v>
      </c>
      <c r="K67" s="101">
        <f> -14129466 + 7053*2031</f>
        <v>195177</v>
      </c>
      <c r="L67" s="221" t="s">
        <v>590</v>
      </c>
      <c r="M67" s="100">
        <f> -13669410 + 6875*2031 - 24.8*4056</f>
        <v>193126.2</v>
      </c>
      <c r="N67" s="223"/>
      <c r="O67" s="86">
        <v>120000.0</v>
      </c>
      <c r="P67" s="56">
        <v>124500.2</v>
      </c>
      <c r="Q67" s="160">
        <v>0.03750166666666664</v>
      </c>
      <c r="R67" s="101">
        <f t="shared" si="14"/>
        <v>17941.86176</v>
      </c>
    </row>
    <row r="68">
      <c r="B68" s="120" t="s">
        <v>392</v>
      </c>
      <c r="C68" s="47"/>
      <c r="D68" s="60" t="s">
        <v>280</v>
      </c>
      <c r="E68" s="121">
        <v>3152.0</v>
      </c>
      <c r="F68" s="221" t="s">
        <v>591</v>
      </c>
      <c r="G68" s="101">
        <f> -4454 + 3.748*2031</f>
        <v>3158.188</v>
      </c>
      <c r="H68" s="222">
        <f t="shared" si="13"/>
        <v>0.00196319797</v>
      </c>
      <c r="I68" s="223"/>
      <c r="J68" s="224" t="s">
        <v>592</v>
      </c>
      <c r="K68" s="101">
        <f> -11375592 + 5677*2031</f>
        <v>154395</v>
      </c>
      <c r="L68" s="221" t="s">
        <v>593</v>
      </c>
      <c r="M68" s="100">
        <f> -12203904 + 6359*2031 - 176.2*3152</f>
        <v>155842.6</v>
      </c>
      <c r="N68" s="223"/>
      <c r="O68" s="157">
        <v>93560.0</v>
      </c>
      <c r="P68" s="56">
        <v>92252.6000000001</v>
      </c>
      <c r="Q68" s="160">
        <v>0.013973920478836114</v>
      </c>
      <c r="R68" s="101">
        <f t="shared" si="14"/>
        <v>14478.13081</v>
      </c>
    </row>
    <row r="69">
      <c r="B69" s="120" t="s">
        <v>392</v>
      </c>
      <c r="C69" s="47"/>
      <c r="D69" s="60" t="s">
        <v>159</v>
      </c>
      <c r="E69" s="121">
        <v>2889.0</v>
      </c>
      <c r="F69" s="221" t="s">
        <v>594</v>
      </c>
      <c r="G69" s="101">
        <f> -13654 + 8.12*2031</f>
        <v>2837.72</v>
      </c>
      <c r="H69" s="222">
        <f t="shared" si="13"/>
        <v>0.01775008654</v>
      </c>
      <c r="I69" s="223"/>
      <c r="J69" s="224" t="s">
        <v>595</v>
      </c>
      <c r="K69" s="101">
        <f> -24879150 + 12391*2031</f>
        <v>286971</v>
      </c>
      <c r="L69" s="221" t="s">
        <v>596</v>
      </c>
      <c r="M69" s="100">
        <f> -25905300 + 13002*2031 - 75.4*2889</f>
        <v>283931.4</v>
      </c>
      <c r="N69" s="223"/>
      <c r="O69" s="157">
        <v>145600.0</v>
      </c>
      <c r="P69" s="56">
        <v>161677.59999999998</v>
      </c>
      <c r="Q69" s="160">
        <v>0.11042307692307676</v>
      </c>
      <c r="R69" s="101">
        <f t="shared" si="14"/>
        <v>26377.87068</v>
      </c>
    </row>
    <row r="70">
      <c r="B70" s="120" t="s">
        <v>392</v>
      </c>
      <c r="C70" s="47"/>
      <c r="D70" s="20" t="s">
        <v>155</v>
      </c>
      <c r="E70" s="121">
        <v>3005.0</v>
      </c>
      <c r="F70" s="221" t="s">
        <v>597</v>
      </c>
      <c r="G70" s="101">
        <f> -394 + 1.664*2031</f>
        <v>2985.584</v>
      </c>
      <c r="H70" s="222">
        <f t="shared" si="13"/>
        <v>0.006461231281</v>
      </c>
      <c r="I70" s="223"/>
      <c r="J70" s="224" t="s">
        <v>598</v>
      </c>
      <c r="K70" s="101">
        <f> -9571584 + 4788*2031</f>
        <v>152844</v>
      </c>
      <c r="L70" s="221" t="s">
        <v>599</v>
      </c>
      <c r="M70" s="228">
        <f>-9649864 + 4808*2031+ 12.8*3005</f>
        <v>153648</v>
      </c>
      <c r="N70" s="223"/>
      <c r="O70" s="157">
        <v>104000.0</v>
      </c>
      <c r="P70" s="56">
        <v>105606.4</v>
      </c>
      <c r="Q70" s="160">
        <v>0.01544615384615379</v>
      </c>
      <c r="R70" s="101">
        <f t="shared" si="14"/>
        <v>14274.24749</v>
      </c>
    </row>
    <row r="71">
      <c r="B71" s="120" t="s">
        <v>392</v>
      </c>
      <c r="C71" s="47"/>
      <c r="D71" s="60" t="s">
        <v>152</v>
      </c>
      <c r="E71" s="122">
        <v>1945.0</v>
      </c>
      <c r="F71" s="221" t="s">
        <v>600</v>
      </c>
      <c r="G71" s="101">
        <f> -1344 + 1.617*2031</f>
        <v>1940.127</v>
      </c>
      <c r="H71" s="222">
        <f t="shared" si="13"/>
        <v>0.002505398458</v>
      </c>
      <c r="I71" s="223"/>
      <c r="J71" s="224" t="s">
        <v>601</v>
      </c>
      <c r="K71" s="101">
        <f> -5781192 + 2891*2031</f>
        <v>90429</v>
      </c>
      <c r="L71" s="221" t="s">
        <v>602</v>
      </c>
      <c r="M71" s="100">
        <f> -6106778 + 3230*2031 - 187.3*1945</f>
        <v>89053.5</v>
      </c>
      <c r="N71" s="223"/>
      <c r="O71" s="86">
        <v>56000.0</v>
      </c>
      <c r="P71" s="56">
        <v>57315.399999999965</v>
      </c>
      <c r="Q71" s="160">
        <v>0.02348928571428509</v>
      </c>
      <c r="R71" s="101">
        <f t="shared" si="14"/>
        <v>8273.272018</v>
      </c>
    </row>
    <row r="72">
      <c r="B72" s="120" t="s">
        <v>392</v>
      </c>
      <c r="C72" s="47"/>
      <c r="D72" s="60" t="s">
        <v>196</v>
      </c>
      <c r="E72" s="121">
        <v>9241.0</v>
      </c>
      <c r="F72" s="221" t="s">
        <v>603</v>
      </c>
      <c r="G72" s="101">
        <f> -73777 + 40.86*2031</f>
        <v>9209.66</v>
      </c>
      <c r="H72" s="222">
        <f t="shared" si="13"/>
        <v>0.003391407856</v>
      </c>
      <c r="I72" s="223"/>
      <c r="J72" s="224" t="s">
        <v>604</v>
      </c>
      <c r="K72" s="101">
        <f> -6433274 + 3206*2031</f>
        <v>78112</v>
      </c>
      <c r="L72" s="221" t="s">
        <v>605</v>
      </c>
      <c r="M72" s="100">
        <f> -6620414 + 3309*2031 - 2.43*9241</f>
        <v>77709.37</v>
      </c>
      <c r="N72" s="223"/>
      <c r="O72" s="157">
        <v>44500.0</v>
      </c>
      <c r="P72" s="56">
        <v>45066.49</v>
      </c>
      <c r="Q72" s="160">
        <v>0.012730112359550516</v>
      </c>
      <c r="R72" s="101">
        <f t="shared" si="14"/>
        <v>7219.376626</v>
      </c>
    </row>
    <row r="73">
      <c r="B73" s="120" t="s">
        <v>392</v>
      </c>
      <c r="C73" s="47"/>
      <c r="D73" s="60" t="s">
        <v>270</v>
      </c>
      <c r="E73" s="121">
        <v>4592.0</v>
      </c>
      <c r="F73" s="221" t="s">
        <v>606</v>
      </c>
      <c r="G73" s="101">
        <f> -20816 + 12.51*2031</f>
        <v>4591.81</v>
      </c>
      <c r="H73" s="222">
        <f t="shared" si="13"/>
        <v>0.00004137630662</v>
      </c>
      <c r="I73" s="223"/>
      <c r="J73" s="224" t="s">
        <v>607</v>
      </c>
      <c r="K73" s="101">
        <f> -24349463 + 12126*2031</f>
        <v>278443</v>
      </c>
      <c r="L73" s="221" t="s">
        <v>608</v>
      </c>
      <c r="M73" s="100">
        <f> -24833475 + 12411*2031 - 20.6*4592</f>
        <v>278670.8</v>
      </c>
      <c r="N73" s="223"/>
      <c r="O73" s="157">
        <v>155040.0</v>
      </c>
      <c r="P73" s="56">
        <v>154849.2</v>
      </c>
      <c r="Q73" s="160">
        <v>0.0012306501547986865</v>
      </c>
      <c r="R73" s="101">
        <f t="shared" si="14"/>
        <v>25889.14902</v>
      </c>
    </row>
    <row r="74">
      <c r="B74" s="120" t="s">
        <v>392</v>
      </c>
      <c r="C74" s="47"/>
      <c r="D74" s="60" t="s">
        <v>260</v>
      </c>
      <c r="E74" s="121">
        <v>7211.0</v>
      </c>
      <c r="F74" s="221" t="s">
        <v>609</v>
      </c>
      <c r="G74" s="101">
        <f> -53869 + 29.99*2031</f>
        <v>7040.69</v>
      </c>
      <c r="H74" s="222">
        <f t="shared" si="13"/>
        <v>0.02361808348</v>
      </c>
      <c r="I74" s="223"/>
      <c r="J74" s="224" t="s">
        <v>554</v>
      </c>
      <c r="K74" s="101">
        <f> -10188275 + 5088*2031</f>
        <v>145453</v>
      </c>
      <c r="L74" s="221" t="s">
        <v>610</v>
      </c>
      <c r="M74" s="100">
        <f> -10743275 + 5396*2031 - 9.92*7211</f>
        <v>144467.88</v>
      </c>
      <c r="N74" s="223"/>
      <c r="O74" s="157">
        <v>90420.0</v>
      </c>
      <c r="P74" s="56">
        <v>95914.28</v>
      </c>
      <c r="Q74" s="160">
        <v>0.06076399026763989</v>
      </c>
      <c r="R74" s="101">
        <f t="shared" si="14"/>
        <v>13421.39353</v>
      </c>
    </row>
    <row r="75">
      <c r="B75" s="120" t="s">
        <v>392</v>
      </c>
      <c r="C75" s="47"/>
      <c r="D75" s="20" t="s">
        <v>297</v>
      </c>
      <c r="E75" s="121">
        <v>4244.0</v>
      </c>
      <c r="F75" s="221" t="s">
        <v>611</v>
      </c>
      <c r="G75" s="101">
        <f> -4353 + 4.22*2031</f>
        <v>4217.82</v>
      </c>
      <c r="H75" s="222">
        <f t="shared" si="13"/>
        <v>0.006168708765</v>
      </c>
      <c r="I75" s="223"/>
      <c r="J75" s="224" t="s">
        <v>612</v>
      </c>
      <c r="K75" s="101">
        <f> -7788767 + 3884*2031</f>
        <v>99637</v>
      </c>
      <c r="L75" s="221" t="s">
        <v>613</v>
      </c>
      <c r="M75" s="100">
        <f> -7863155 + 3918*2031 + 1.2*4244</f>
        <v>99395.8</v>
      </c>
      <c r="N75" s="223"/>
      <c r="O75" s="157">
        <v>55230.0</v>
      </c>
      <c r="P75" s="56">
        <v>60227.8</v>
      </c>
      <c r="Q75" s="160">
        <v>0.09049067535759556</v>
      </c>
      <c r="R75" s="101">
        <f t="shared" si="14"/>
        <v>9234.095132</v>
      </c>
    </row>
    <row r="76">
      <c r="B76" s="120" t="s">
        <v>392</v>
      </c>
      <c r="C76" s="47"/>
      <c r="D76" s="60" t="s">
        <v>277</v>
      </c>
      <c r="E76" s="121">
        <v>4885.0</v>
      </c>
      <c r="F76" s="221" t="s">
        <v>614</v>
      </c>
      <c r="G76" s="101">
        <f> -17920 + 10.91*2031</f>
        <v>4238.21</v>
      </c>
      <c r="H76" s="222">
        <f t="shared" si="13"/>
        <v>0.1324032753</v>
      </c>
      <c r="I76" s="223"/>
      <c r="J76" s="224" t="s">
        <v>615</v>
      </c>
      <c r="K76" s="101">
        <f> -9783500 + 4899*2031</f>
        <v>166369</v>
      </c>
      <c r="L76" s="221" t="s">
        <v>616</v>
      </c>
      <c r="M76" s="100">
        <f> -12080540 + 6072*2031 - 18.1*4885</f>
        <v>163273.5</v>
      </c>
      <c r="N76" s="223"/>
      <c r="O76" s="157">
        <v>92000.0</v>
      </c>
      <c r="P76" s="56">
        <v>102499.2</v>
      </c>
      <c r="Q76" s="160">
        <v>0.11412173913043475</v>
      </c>
      <c r="R76" s="101">
        <f t="shared" si="14"/>
        <v>15168.47826</v>
      </c>
    </row>
    <row r="77">
      <c r="B77" s="120" t="s">
        <v>392</v>
      </c>
      <c r="C77" s="47"/>
      <c r="D77" s="20" t="s">
        <v>92</v>
      </c>
      <c r="E77" s="122">
        <v>8459.0</v>
      </c>
      <c r="F77" s="221" t="s">
        <v>617</v>
      </c>
      <c r="G77" s="101">
        <f> - 166506 + 86.07*2031</f>
        <v>8302.17</v>
      </c>
      <c r="H77" s="222">
        <f t="shared" si="13"/>
        <v>0.01854001655</v>
      </c>
      <c r="I77" s="223"/>
      <c r="J77" s="224" t="s">
        <v>618</v>
      </c>
      <c r="K77" s="101">
        <f> -21071550 + 10516*2031</f>
        <v>286446</v>
      </c>
      <c r="L77" s="221" t="s">
        <v>619</v>
      </c>
      <c r="M77" s="100">
        <f> -24323782 + 12195*2031 - 18.9*8459</f>
        <v>284387.9</v>
      </c>
      <c r="N77" s="223"/>
      <c r="O77" s="86">
        <v>165800.0</v>
      </c>
      <c r="P77" s="56">
        <v>179750.30000000002</v>
      </c>
      <c r="Q77" s="160">
        <v>0.08413932448733424</v>
      </c>
      <c r="R77" s="101">
        <f t="shared" si="14"/>
        <v>26420.28056</v>
      </c>
    </row>
    <row r="78">
      <c r="B78" s="120" t="s">
        <v>398</v>
      </c>
      <c r="C78" s="47"/>
      <c r="D78" s="60" t="s">
        <v>317</v>
      </c>
      <c r="E78" s="121">
        <v>6842.0</v>
      </c>
      <c r="F78" s="221" t="s">
        <v>620</v>
      </c>
      <c r="G78" s="233">
        <f> -14468 + 10.45*2031</f>
        <v>6755.95</v>
      </c>
      <c r="H78" s="222">
        <f t="shared" si="13"/>
        <v>0.01257673195</v>
      </c>
      <c r="I78" s="223"/>
      <c r="J78" s="224" t="s">
        <v>621</v>
      </c>
      <c r="K78" s="101">
        <f> -6136650 + 3060*2031</f>
        <v>78210</v>
      </c>
      <c r="L78" s="221" t="s">
        <v>622</v>
      </c>
      <c r="M78" s="100">
        <f> -6211045 + 3112*2031 - 4.48*6842</f>
        <v>78774.84</v>
      </c>
      <c r="N78" s="223"/>
      <c r="O78" s="157">
        <v>46000.0</v>
      </c>
      <c r="P78" s="56">
        <v>48765.88</v>
      </c>
      <c r="Q78" s="160">
        <v>0.060127826086956465</v>
      </c>
      <c r="R78" s="101">
        <f t="shared" si="14"/>
        <v>7318.361204</v>
      </c>
    </row>
    <row r="79">
      <c r="B79" s="120" t="s">
        <v>392</v>
      </c>
      <c r="C79" s="47"/>
      <c r="D79" s="20" t="s">
        <v>229</v>
      </c>
      <c r="E79" s="122">
        <v>9479.0</v>
      </c>
      <c r="F79" s="221" t="s">
        <v>623</v>
      </c>
      <c r="G79" s="101">
        <f> -302682 + 153.6*2031</f>
        <v>9279.6</v>
      </c>
      <c r="H79" s="222">
        <f t="shared" si="13"/>
        <v>0.02103597426</v>
      </c>
      <c r="I79" s="223"/>
      <c r="J79" s="224" t="s">
        <v>624</v>
      </c>
      <c r="K79" s="101">
        <f> -12165368 + 6060*2031</f>
        <v>142492</v>
      </c>
      <c r="L79" s="221" t="s">
        <v>625</v>
      </c>
      <c r="M79" s="100">
        <f> -13923616 + 6952*2031 - 5.69*9479</f>
        <v>141960.49</v>
      </c>
      <c r="N79" s="223"/>
      <c r="O79" s="86">
        <v>76500.0</v>
      </c>
      <c r="P79" s="56">
        <v>81834.68</v>
      </c>
      <c r="Q79" s="160">
        <v>0.06973437908496723</v>
      </c>
      <c r="R79" s="101">
        <f t="shared" si="14"/>
        <v>13188.45132</v>
      </c>
    </row>
    <row r="80">
      <c r="B80" s="120" t="s">
        <v>392</v>
      </c>
      <c r="C80" s="47"/>
      <c r="D80" s="20" t="s">
        <v>147</v>
      </c>
      <c r="E80" s="122">
        <v>2829.0</v>
      </c>
      <c r="F80" s="221" t="s">
        <v>626</v>
      </c>
      <c r="G80" s="101">
        <f> -1139 + 1.949*2031</f>
        <v>2819.419</v>
      </c>
      <c r="H80" s="222">
        <f t="shared" si="13"/>
        <v>0.003386709084</v>
      </c>
      <c r="I80" s="223"/>
      <c r="J80" s="224" t="s">
        <v>627</v>
      </c>
      <c r="K80" s="101">
        <f> -7396430 + 3695*2031</f>
        <v>108115</v>
      </c>
      <c r="L80" s="221" t="s">
        <v>628</v>
      </c>
      <c r="M80" s="100">
        <f> -7529118 + 4002*2031 - 173.9*2829</f>
        <v>106980.9</v>
      </c>
      <c r="N80" s="223"/>
      <c r="O80" s="86">
        <v>65000.0</v>
      </c>
      <c r="P80" s="56">
        <v>67134.79999999999</v>
      </c>
      <c r="Q80" s="160">
        <v>0.032843076923076746</v>
      </c>
      <c r="R80" s="101">
        <f t="shared" si="14"/>
        <v>9938.768116</v>
      </c>
    </row>
    <row r="81">
      <c r="B81" s="120" t="s">
        <v>392</v>
      </c>
      <c r="C81" s="47"/>
      <c r="D81" s="60" t="s">
        <v>316</v>
      </c>
      <c r="E81" s="121">
        <v>3251.0</v>
      </c>
      <c r="F81" s="221" t="s">
        <v>629</v>
      </c>
      <c r="G81" s="101">
        <f> 7495 - 2.106*2031</f>
        <v>3217.714</v>
      </c>
      <c r="H81" s="222">
        <f t="shared" si="13"/>
        <v>0.01023869579</v>
      </c>
      <c r="I81" s="223"/>
      <c r="J81" s="224" t="s">
        <v>630</v>
      </c>
      <c r="K81" s="101">
        <f> -6192550 + 3088*2031</f>
        <v>79178</v>
      </c>
      <c r="L81" s="221" t="s">
        <v>631</v>
      </c>
      <c r="M81" s="100">
        <f> -6331070 + 3135*2031 + 13.6*3251</f>
        <v>80328.6</v>
      </c>
      <c r="N81" s="223"/>
      <c r="O81" s="157">
        <v>46200.0</v>
      </c>
      <c r="P81" s="56">
        <v>48829.0</v>
      </c>
      <c r="Q81" s="160">
        <v>0.0569047619047619</v>
      </c>
      <c r="R81" s="101">
        <f t="shared" si="14"/>
        <v>7462.70903</v>
      </c>
    </row>
    <row r="82">
      <c r="B82" s="120" t="s">
        <v>392</v>
      </c>
      <c r="C82" s="47"/>
      <c r="D82" s="60" t="s">
        <v>194</v>
      </c>
      <c r="E82" s="121">
        <v>4601.0</v>
      </c>
      <c r="F82" s="221" t="s">
        <v>632</v>
      </c>
      <c r="G82" s="101">
        <f> 9948 - 2.66*2031</f>
        <v>4545.54</v>
      </c>
      <c r="H82" s="222">
        <f t="shared" si="13"/>
        <v>0.01205390133</v>
      </c>
      <c r="I82" s="223"/>
      <c r="J82" s="224" t="s">
        <v>615</v>
      </c>
      <c r="K82" s="101">
        <f> -9783500 + 4899*2031</f>
        <v>166369</v>
      </c>
      <c r="L82" s="221" t="s">
        <v>633</v>
      </c>
      <c r="M82" s="100">
        <f> -11608796 + 5832*2031 - 15.9*4601</f>
        <v>162840.1</v>
      </c>
      <c r="N82" s="223"/>
      <c r="O82" s="157">
        <v>92000.0</v>
      </c>
      <c r="P82" s="56">
        <v>104233.9</v>
      </c>
      <c r="Q82" s="160">
        <v>0.13297717391304342</v>
      </c>
      <c r="R82" s="101">
        <f t="shared" si="14"/>
        <v>15128.21442</v>
      </c>
    </row>
    <row r="83">
      <c r="B83" s="120" t="s">
        <v>398</v>
      </c>
      <c r="C83" s="47"/>
      <c r="D83" s="60" t="s">
        <v>197</v>
      </c>
      <c r="E83" s="121">
        <v>3212.0</v>
      </c>
      <c r="F83" s="221" t="s">
        <v>634</v>
      </c>
      <c r="G83" s="101">
        <f> 38239 - 17.28*2031</f>
        <v>3143.32</v>
      </c>
      <c r="H83" s="222">
        <f t="shared" si="13"/>
        <v>0.02138231631</v>
      </c>
      <c r="I83" s="223"/>
      <c r="J83" s="224" t="s">
        <v>635</v>
      </c>
      <c r="K83" s="101">
        <f> -9610229 + 4798*2031</f>
        <v>134509</v>
      </c>
      <c r="L83" s="221" t="s">
        <v>636</v>
      </c>
      <c r="M83" s="234">
        <f> -8787908 + 4428*2031 - 22.2*3212</f>
        <v>134053.6</v>
      </c>
      <c r="N83" s="223"/>
      <c r="O83" s="157">
        <v>82000.0</v>
      </c>
      <c r="P83" s="56">
        <v>89729.2</v>
      </c>
      <c r="Q83" s="160">
        <v>0.09425853658536582</v>
      </c>
      <c r="R83" s="101">
        <f t="shared" si="14"/>
        <v>12453.88331</v>
      </c>
    </row>
    <row r="84">
      <c r="B84" s="120" t="s">
        <v>392</v>
      </c>
      <c r="C84" s="47"/>
      <c r="D84" s="60" t="s">
        <v>186</v>
      </c>
      <c r="E84" s="121">
        <v>5790.0</v>
      </c>
      <c r="F84" s="221" t="s">
        <v>637</v>
      </c>
      <c r="G84" s="101">
        <f> -39881 + 22.48*2031</f>
        <v>5775.88</v>
      </c>
      <c r="H84" s="222">
        <f t="shared" si="13"/>
        <v>0.002438687392</v>
      </c>
      <c r="I84" s="223"/>
      <c r="J84" s="224" t="s">
        <v>638</v>
      </c>
      <c r="K84" s="101">
        <f> -9102033 + 4552*2031</f>
        <v>143079</v>
      </c>
      <c r="L84" s="221" t="s">
        <v>639</v>
      </c>
      <c r="M84" s="100">
        <f> -9096601 + 4556*2031 - 2.45*5790</f>
        <v>142449.5</v>
      </c>
      <c r="N84" s="223"/>
      <c r="O84" s="157">
        <v>97400.0</v>
      </c>
      <c r="P84" s="56">
        <v>96958.1</v>
      </c>
      <c r="Q84" s="160">
        <v>0.0045369609856262235</v>
      </c>
      <c r="R84" s="101">
        <f t="shared" si="14"/>
        <v>13233.88146</v>
      </c>
    </row>
    <row r="85">
      <c r="B85" s="120" t="s">
        <v>392</v>
      </c>
      <c r="C85" s="47"/>
      <c r="D85" s="60" t="s">
        <v>190</v>
      </c>
      <c r="E85" s="121">
        <v>3765.0</v>
      </c>
      <c r="F85" s="221" t="s">
        <v>640</v>
      </c>
      <c r="G85" s="101">
        <f> -11 + 1.849*2031</f>
        <v>3744.319</v>
      </c>
      <c r="H85" s="222">
        <f t="shared" si="13"/>
        <v>0.005492961487</v>
      </c>
      <c r="I85" s="223"/>
      <c r="J85" s="224" t="s">
        <v>641</v>
      </c>
      <c r="K85" s="101">
        <f> -11637236 + 5805*2031</f>
        <v>152719</v>
      </c>
      <c r="L85" s="221" t="s">
        <v>642</v>
      </c>
      <c r="M85" s="100">
        <f> -11722875 + 6073*2031 - 123*3765</f>
        <v>148293</v>
      </c>
      <c r="N85" s="223"/>
      <c r="O85" s="157">
        <v>85000.0</v>
      </c>
      <c r="P85" s="56">
        <v>89777.0</v>
      </c>
      <c r="Q85" s="160">
        <v>0.0562</v>
      </c>
      <c r="R85" s="101">
        <f t="shared" si="14"/>
        <v>13776.75585</v>
      </c>
    </row>
    <row r="86">
      <c r="B86" s="120" t="s">
        <v>392</v>
      </c>
      <c r="C86" s="47"/>
      <c r="D86" s="20" t="s">
        <v>284</v>
      </c>
      <c r="E86" s="122">
        <v>7540.0</v>
      </c>
      <c r="F86" s="221" t="s">
        <v>643</v>
      </c>
      <c r="G86" s="101">
        <f> 8511 - 0.52*2031</f>
        <v>7454.88</v>
      </c>
      <c r="H86" s="222">
        <f t="shared" si="13"/>
        <v>0.01128912467</v>
      </c>
      <c r="I86" s="223"/>
      <c r="J86" s="224" t="s">
        <v>644</v>
      </c>
      <c r="K86" s="101">
        <f> -9425621 + 4706*2031</f>
        <v>132265</v>
      </c>
      <c r="L86" s="221" t="s">
        <v>645</v>
      </c>
      <c r="M86" s="234">
        <f> -9381792 + 4734*2031 - 13.6*7540</f>
        <v>130418</v>
      </c>
      <c r="N86" s="223"/>
      <c r="O86" s="86">
        <v>82500.0</v>
      </c>
      <c r="P86" s="56">
        <v>84424.40000000001</v>
      </c>
      <c r="Q86" s="160">
        <v>0.02332606060606071</v>
      </c>
      <c r="R86" s="101">
        <f t="shared" si="14"/>
        <v>12116.12783</v>
      </c>
    </row>
    <row r="87">
      <c r="B87" s="120" t="s">
        <v>392</v>
      </c>
      <c r="C87" s="47"/>
      <c r="D87" s="60" t="s">
        <v>330</v>
      </c>
      <c r="E87" s="121">
        <v>2536.0</v>
      </c>
      <c r="F87" s="221" t="s">
        <v>646</v>
      </c>
      <c r="G87" s="101">
        <f> -123 + 1.293*2031</f>
        <v>2503.083</v>
      </c>
      <c r="H87" s="222">
        <f t="shared" si="13"/>
        <v>0.01297988959</v>
      </c>
      <c r="I87" s="223"/>
      <c r="J87" s="224" t="s">
        <v>647</v>
      </c>
      <c r="K87" s="101">
        <f> -4844082 + 2417*2031</f>
        <v>64845</v>
      </c>
      <c r="L87" s="221" t="s">
        <v>648</v>
      </c>
      <c r="M87" s="100">
        <f> -4883990 + 2429*2031 + 6.5*2536</f>
        <v>65793</v>
      </c>
      <c r="N87" s="223"/>
      <c r="O87" s="157">
        <v>39760.0</v>
      </c>
      <c r="P87" s="56">
        <v>41483.5</v>
      </c>
      <c r="Q87" s="160">
        <v>0.04334758551307847</v>
      </c>
      <c r="R87" s="101">
        <f t="shared" si="14"/>
        <v>6112.318841</v>
      </c>
    </row>
    <row r="88">
      <c r="B88" s="120" t="s">
        <v>392</v>
      </c>
      <c r="C88" s="47"/>
      <c r="D88" s="20" t="s">
        <v>233</v>
      </c>
      <c r="E88" s="121">
        <v>4016.0</v>
      </c>
      <c r="F88" s="221" t="s">
        <v>649</v>
      </c>
      <c r="G88" s="101">
        <f> -19201 + 11.42*2031</f>
        <v>3993.02</v>
      </c>
      <c r="H88" s="222">
        <f t="shared" si="13"/>
        <v>0.005722111554</v>
      </c>
      <c r="I88" s="223"/>
      <c r="J88" s="224" t="s">
        <v>650</v>
      </c>
      <c r="K88" s="233">
        <f> -3174955 + 1585*2031</f>
        <v>44180</v>
      </c>
      <c r="L88" s="221" t="s">
        <v>651</v>
      </c>
      <c r="M88" s="100">
        <f> -3059239 + 1514*2031 + 7*4016</f>
        <v>43807</v>
      </c>
      <c r="N88" s="223"/>
      <c r="O88" s="157">
        <v>30000.0</v>
      </c>
      <c r="P88" s="56">
        <v>28401.0</v>
      </c>
      <c r="Q88" s="160">
        <v>0.0533</v>
      </c>
      <c r="R88" s="101">
        <f t="shared" si="14"/>
        <v>4069.769602</v>
      </c>
    </row>
    <row r="89">
      <c r="B89" s="120" t="s">
        <v>392</v>
      </c>
      <c r="C89" s="47"/>
      <c r="D89" s="20" t="s">
        <v>271</v>
      </c>
      <c r="E89" s="122">
        <v>5751.0</v>
      </c>
      <c r="F89" s="221" t="s">
        <v>652</v>
      </c>
      <c r="G89" s="101">
        <f> -153895 + 78.58*2031</f>
        <v>5700.98</v>
      </c>
      <c r="H89" s="222">
        <f t="shared" si="13"/>
        <v>0.008697617806</v>
      </c>
      <c r="I89" s="223"/>
      <c r="J89" s="224" t="s">
        <v>653</v>
      </c>
      <c r="K89" s="101">
        <f> -22031530 + 10980*2031</f>
        <v>268850</v>
      </c>
      <c r="L89" s="221" t="s">
        <v>654</v>
      </c>
      <c r="M89" s="100">
        <f> -21165360 + 10538*2031 + 5.59*5751</f>
        <v>269466.09</v>
      </c>
      <c r="N89" s="223"/>
      <c r="O89" s="86">
        <v>161500.0</v>
      </c>
      <c r="P89" s="56">
        <v>161509.1</v>
      </c>
      <c r="Q89" s="160">
        <v>5.6346749226042236E-5</v>
      </c>
      <c r="R89" s="101">
        <f t="shared" si="14"/>
        <v>25034.01059</v>
      </c>
    </row>
    <row r="90">
      <c r="B90" s="120" t="s">
        <v>392</v>
      </c>
      <c r="C90" s="47"/>
      <c r="D90" s="60" t="s">
        <v>16</v>
      </c>
      <c r="E90" s="122">
        <v>9001.0</v>
      </c>
      <c r="F90" s="221" t="s">
        <v>655</v>
      </c>
      <c r="G90" s="233">
        <f> -136003 + 71.41*2031</f>
        <v>9030.71</v>
      </c>
      <c r="H90" s="222">
        <f t="shared" si="13"/>
        <v>0.003300744362</v>
      </c>
      <c r="I90" s="223"/>
      <c r="J90" s="224" t="s">
        <v>656</v>
      </c>
      <c r="K90" s="102">
        <f> -14714612 + 7350*2031</f>
        <v>213238</v>
      </c>
      <c r="L90" s="221" t="s">
        <v>657</v>
      </c>
      <c r="M90" s="234">
        <f> -14992467 + 7495*2031 - 1.79*9001</f>
        <v>213766.21</v>
      </c>
      <c r="N90" s="223"/>
      <c r="O90" s="86">
        <v>132000.0</v>
      </c>
      <c r="P90" s="56">
        <v>138923.61</v>
      </c>
      <c r="Q90" s="160">
        <v>0.0524515909090908</v>
      </c>
      <c r="R90" s="101">
        <f t="shared" si="14"/>
        <v>19859.36548</v>
      </c>
    </row>
    <row r="91">
      <c r="B91" s="120" t="s">
        <v>398</v>
      </c>
      <c r="C91" s="47"/>
      <c r="D91" s="60" t="s">
        <v>221</v>
      </c>
      <c r="E91" s="121">
        <v>4284.0</v>
      </c>
      <c r="F91" s="221" t="s">
        <v>658</v>
      </c>
      <c r="G91" s="101">
        <f> -5656 + 4.87*2031</f>
        <v>4234.97</v>
      </c>
      <c r="H91" s="222">
        <f t="shared" si="13"/>
        <v>0.0114449113</v>
      </c>
      <c r="I91" s="223"/>
      <c r="J91" s="224" t="s">
        <v>659</v>
      </c>
      <c r="K91" s="102">
        <f> -4653739 + 2336*2031</f>
        <v>90677</v>
      </c>
      <c r="L91" s="221" t="s">
        <v>660</v>
      </c>
      <c r="M91" s="100">
        <f> -4596740 + 2296*2031 + 5.72*4284</f>
        <v>90940.48</v>
      </c>
      <c r="N91" s="223"/>
      <c r="O91" s="157">
        <v>67800.0</v>
      </c>
      <c r="P91" s="56">
        <v>67911.84</v>
      </c>
      <c r="Q91" s="160">
        <v>0.0016495575221238423</v>
      </c>
      <c r="R91" s="101">
        <f t="shared" si="14"/>
        <v>8448.576737</v>
      </c>
    </row>
    <row r="92">
      <c r="B92" s="120" t="s">
        <v>392</v>
      </c>
      <c r="C92" s="47"/>
      <c r="D92" s="20" t="s">
        <v>261</v>
      </c>
      <c r="E92" s="121">
        <v>3914.0</v>
      </c>
      <c r="F92" s="221" t="s">
        <v>661</v>
      </c>
      <c r="G92" s="101">
        <f> -16789 + 10.18*2031</f>
        <v>3886.58</v>
      </c>
      <c r="H92" s="222">
        <f t="shared" si="13"/>
        <v>0.007005620848</v>
      </c>
      <c r="I92" s="223"/>
      <c r="J92" s="224" t="s">
        <v>662</v>
      </c>
      <c r="K92" s="102">
        <f> -3022050 + 1518*2031</f>
        <v>61008</v>
      </c>
      <c r="L92" s="221" t="s">
        <v>663</v>
      </c>
      <c r="M92" s="100">
        <f> -2897372 + 1439*2031 + 9.3*3914</f>
        <v>61637.2</v>
      </c>
      <c r="N92" s="223"/>
      <c r="O92" s="157">
        <v>46500.0</v>
      </c>
      <c r="P92" s="56">
        <v>46261.4</v>
      </c>
      <c r="Q92" s="160">
        <v>0.005131182795698894</v>
      </c>
      <c r="R92" s="101">
        <f t="shared" si="14"/>
        <v>5726.2356</v>
      </c>
    </row>
    <row r="93">
      <c r="B93" s="120" t="s">
        <v>392</v>
      </c>
      <c r="C93" s="47"/>
      <c r="D93" s="20" t="s">
        <v>295</v>
      </c>
      <c r="E93" s="121">
        <v>5752.0</v>
      </c>
      <c r="F93" s="221" t="s">
        <v>664</v>
      </c>
      <c r="G93" s="101">
        <f> -43783 + 24.38*2031</f>
        <v>5732.78</v>
      </c>
      <c r="H93" s="222">
        <f t="shared" si="13"/>
        <v>0.003341446453</v>
      </c>
      <c r="I93" s="223"/>
      <c r="J93" s="224" t="s">
        <v>665</v>
      </c>
      <c r="K93" s="101">
        <f> -6657106 + 3328*2031</f>
        <v>102062</v>
      </c>
      <c r="L93" s="221" t="s">
        <v>666</v>
      </c>
      <c r="M93" s="100">
        <f> -7674346 + 3891*2031 - 22*5752</f>
        <v>101731</v>
      </c>
      <c r="N93" s="223"/>
      <c r="O93" s="157">
        <v>62000.0</v>
      </c>
      <c r="P93" s="56">
        <v>62271.0</v>
      </c>
      <c r="Q93" s="160">
        <v>0.0043709677419354834</v>
      </c>
      <c r="R93" s="101">
        <f t="shared" si="14"/>
        <v>9451.040505</v>
      </c>
    </row>
    <row r="94">
      <c r="B94" s="120" t="s">
        <v>392</v>
      </c>
      <c r="C94" s="47"/>
      <c r="D94" s="20" t="s">
        <v>149</v>
      </c>
      <c r="E94" s="121">
        <v>3926.0</v>
      </c>
      <c r="F94" s="221" t="s">
        <v>667</v>
      </c>
      <c r="G94" s="102">
        <f> -12114 + 7.895*2031</f>
        <v>3920.745</v>
      </c>
      <c r="H94" s="222">
        <f t="shared" si="13"/>
        <v>0.001338512481</v>
      </c>
      <c r="I94" s="223"/>
      <c r="J94" s="224" t="s">
        <v>668</v>
      </c>
      <c r="K94" s="101">
        <f> -8513875 + 4237*2031</f>
        <v>91472</v>
      </c>
      <c r="L94" s="221" t="s">
        <v>669</v>
      </c>
      <c r="M94" s="100">
        <f> -8463334 + 4194*2031 + 9.17*3926</f>
        <v>90681.42</v>
      </c>
      <c r="N94" s="223"/>
      <c r="O94" s="157">
        <v>50180.0</v>
      </c>
      <c r="P94" s="56">
        <v>48750.59</v>
      </c>
      <c r="Q94" s="160">
        <v>0.028485651654045506</v>
      </c>
      <c r="R94" s="101">
        <f t="shared" si="14"/>
        <v>8424.509476</v>
      </c>
    </row>
    <row r="95">
      <c r="B95" s="120" t="s">
        <v>392</v>
      </c>
      <c r="C95" s="47"/>
      <c r="D95" s="20" t="s">
        <v>170</v>
      </c>
      <c r="E95" s="121">
        <v>7343.0</v>
      </c>
      <c r="F95" s="221" t="s">
        <v>670</v>
      </c>
      <c r="G95" s="102">
        <f> -159937 + 82.46*2031</f>
        <v>7539.26</v>
      </c>
      <c r="H95" s="222">
        <f t="shared" si="13"/>
        <v>0.02672749557</v>
      </c>
      <c r="I95" s="223"/>
      <c r="J95" s="224" t="s">
        <v>671</v>
      </c>
      <c r="K95" s="101">
        <f> -3491387 + 1743*2031</f>
        <v>48646</v>
      </c>
      <c r="L95" s="221" t="s">
        <v>672</v>
      </c>
      <c r="M95" s="100">
        <f> -4315325 + 2167*2031 - 4.98*7343</f>
        <v>49283.86</v>
      </c>
      <c r="N95" s="223"/>
      <c r="O95" s="157">
        <v>28900.0</v>
      </c>
      <c r="P95" s="56">
        <v>27823.019999999997</v>
      </c>
      <c r="Q95" s="160">
        <v>0.03726574394463679</v>
      </c>
      <c r="R95" s="101">
        <f t="shared" si="14"/>
        <v>4578.582311</v>
      </c>
    </row>
    <row r="96">
      <c r="B96" s="120" t="s">
        <v>392</v>
      </c>
      <c r="C96" s="47"/>
      <c r="D96" s="60" t="s">
        <v>189</v>
      </c>
      <c r="E96" s="121">
        <v>1559.0</v>
      </c>
      <c r="F96" s="221" t="s">
        <v>673</v>
      </c>
      <c r="G96" s="101">
        <f> 1697 - 0.0664*2031</f>
        <v>1562.1416</v>
      </c>
      <c r="H96" s="222">
        <f t="shared" si="13"/>
        <v>0.002015137909</v>
      </c>
      <c r="I96" s="223"/>
      <c r="J96" s="224" t="s">
        <v>674</v>
      </c>
      <c r="K96" s="101">
        <f> -6486659 + 3232*2031</f>
        <v>77533</v>
      </c>
      <c r="L96" s="221" t="s">
        <v>675</v>
      </c>
      <c r="M96" s="100">
        <f> -6210713 + 3175*2031 - 102*1559</f>
        <v>78694</v>
      </c>
      <c r="N96" s="223"/>
      <c r="O96" s="157">
        <v>44800.0</v>
      </c>
      <c r="P96" s="56">
        <v>45822.0</v>
      </c>
      <c r="Q96" s="160">
        <v>0.0228125</v>
      </c>
      <c r="R96" s="101">
        <f t="shared" si="14"/>
        <v>7310.850985</v>
      </c>
    </row>
    <row r="97">
      <c r="B97" s="120" t="s">
        <v>392</v>
      </c>
      <c r="C97" s="47"/>
      <c r="D97" s="60" t="s">
        <v>275</v>
      </c>
      <c r="E97" s="122">
        <v>3226.0</v>
      </c>
      <c r="F97" s="221" t="s">
        <v>676</v>
      </c>
      <c r="G97" s="102">
        <f> -14311 + 8.627*2031</f>
        <v>3210.437</v>
      </c>
      <c r="H97" s="222">
        <f t="shared" si="13"/>
        <v>0.004824240546</v>
      </c>
      <c r="I97" s="223"/>
      <c r="J97" s="224" t="s">
        <v>566</v>
      </c>
      <c r="K97" s="233">
        <f> -14129466 + 7053*2031</f>
        <v>195177</v>
      </c>
      <c r="L97" s="221" t="s">
        <v>677</v>
      </c>
      <c r="M97" s="100">
        <f> -14981424 + 7576*2031 - 65.2*3226</f>
        <v>195096.8</v>
      </c>
      <c r="N97" s="223"/>
      <c r="O97" s="157">
        <v>120000.0</v>
      </c>
      <c r="P97" s="56">
        <v>120380.0</v>
      </c>
      <c r="Q97" s="160">
        <v>0.0031666666666666666</v>
      </c>
      <c r="R97" s="101">
        <f t="shared" si="14"/>
        <v>18124.93497</v>
      </c>
    </row>
    <row r="98">
      <c r="B98" s="120" t="s">
        <v>392</v>
      </c>
      <c r="C98" s="47"/>
      <c r="D98" s="20" t="s">
        <v>236</v>
      </c>
      <c r="E98" s="121">
        <v>2887.0</v>
      </c>
      <c r="F98" s="221" t="s">
        <v>678</v>
      </c>
      <c r="G98" s="101">
        <f> -2512 + 2.657*2031</f>
        <v>2884.367</v>
      </c>
      <c r="H98" s="222">
        <f t="shared" si="13"/>
        <v>0.0009120193973</v>
      </c>
      <c r="I98" s="223"/>
      <c r="J98" s="224" t="s">
        <v>679</v>
      </c>
      <c r="K98" s="101">
        <f>- 3660790 + 1825 *2031</f>
        <v>45785</v>
      </c>
      <c r="L98" s="221" t="s">
        <v>680</v>
      </c>
      <c r="M98" s="100">
        <f>-3749081 + 1907 *2031- 27.1 *2887</f>
        <v>45798.3</v>
      </c>
      <c r="N98" s="223"/>
      <c r="O98" s="121">
        <v>24800.0</v>
      </c>
      <c r="P98" s="56">
        <f>  -3749081 + 1907 *2021- 27.1 *2887</f>
        <v>26728.3</v>
      </c>
      <c r="Q98" s="231">
        <f>ABS(O98-P98)/O98</f>
        <v>0.07775403226</v>
      </c>
      <c r="R98" s="101">
        <f t="shared" si="14"/>
        <v>4254.765886</v>
      </c>
    </row>
    <row r="99">
      <c r="B99" s="120" t="s">
        <v>392</v>
      </c>
      <c r="C99" s="47"/>
      <c r="D99" s="20" t="s">
        <v>137</v>
      </c>
      <c r="E99" s="121">
        <v>4085.0</v>
      </c>
      <c r="F99" s="221" t="s">
        <v>681</v>
      </c>
      <c r="G99" s="101">
        <f> 1249 + 1.39*2031</f>
        <v>4072.09</v>
      </c>
      <c r="H99" s="222">
        <f t="shared" si="13"/>
        <v>0.003160342717</v>
      </c>
      <c r="I99" s="223"/>
      <c r="J99" s="224" t="s">
        <v>682</v>
      </c>
      <c r="K99" s="101">
        <f> -7212844 + 3606*2031</f>
        <v>110942</v>
      </c>
      <c r="L99" s="221" t="s">
        <v>683</v>
      </c>
      <c r="M99" s="100">
        <f> -7109529 + 3603*2031 - 24*4085</f>
        <v>110124</v>
      </c>
      <c r="N99" s="223"/>
      <c r="O99" s="157">
        <v>72400.0</v>
      </c>
      <c r="P99" s="56">
        <v>74310.0</v>
      </c>
      <c r="Q99" s="160">
        <v>0.02638121546961326</v>
      </c>
      <c r="R99" s="101">
        <f t="shared" si="14"/>
        <v>10230.76923</v>
      </c>
    </row>
    <row r="100">
      <c r="B100" s="120" t="s">
        <v>392</v>
      </c>
      <c r="C100" s="47"/>
      <c r="D100" s="20" t="s">
        <v>97</v>
      </c>
      <c r="E100" s="122">
        <v>5441.0</v>
      </c>
      <c r="F100" s="221" t="s">
        <v>684</v>
      </c>
      <c r="G100" s="101">
        <f> -28383 + 16.6*2031</f>
        <v>5331.6</v>
      </c>
      <c r="H100" s="222">
        <f t="shared" si="13"/>
        <v>0.02010659805</v>
      </c>
      <c r="I100" s="223"/>
      <c r="J100" s="224" t="s">
        <v>685</v>
      </c>
      <c r="K100" s="101">
        <f> -15773688 + 7872*2031</f>
        <v>214344</v>
      </c>
      <c r="L100" s="221" t="s">
        <v>686</v>
      </c>
      <c r="M100" s="100">
        <f> -17226044 + 8722*2031 - 51.3*5441</f>
        <v>209214.7</v>
      </c>
      <c r="N100" s="223"/>
      <c r="O100" s="86">
        <v>119000.0</v>
      </c>
      <c r="P100" s="56">
        <v>130151.40000000002</v>
      </c>
      <c r="Q100" s="160">
        <v>0.09370924369747918</v>
      </c>
      <c r="R100" s="101">
        <f t="shared" si="14"/>
        <v>19436.51988</v>
      </c>
    </row>
    <row r="101">
      <c r="B101" s="120" t="s">
        <v>392</v>
      </c>
      <c r="C101" s="47"/>
      <c r="D101" s="20" t="s">
        <v>322</v>
      </c>
      <c r="E101" s="121">
        <v>8334.0</v>
      </c>
      <c r="F101" s="221" t="s">
        <v>687</v>
      </c>
      <c r="G101" s="101">
        <f> -16503 + 12.2*2031</f>
        <v>8275.2</v>
      </c>
      <c r="H101" s="222">
        <f t="shared" si="13"/>
        <v>0.007055435565</v>
      </c>
      <c r="I101" s="223"/>
      <c r="J101" s="224" t="s">
        <v>688</v>
      </c>
      <c r="K101" s="101">
        <f> -5364117 + 2676*2031</f>
        <v>70839</v>
      </c>
      <c r="L101" s="221" t="s">
        <v>689</v>
      </c>
      <c r="M101" s="100">
        <f> -5360087 + 2667.2*2031 + 1.68*8334</f>
        <v>70997.32</v>
      </c>
      <c r="N101" s="223"/>
      <c r="O101" s="157">
        <v>44600.0</v>
      </c>
      <c r="P101" s="56">
        <v>44348.839999999254</v>
      </c>
      <c r="Q101" s="160">
        <v>0.005631390134545867</v>
      </c>
      <c r="R101" s="101">
        <f t="shared" si="14"/>
        <v>6595.811966</v>
      </c>
    </row>
    <row r="102">
      <c r="B102" s="120" t="s">
        <v>392</v>
      </c>
      <c r="C102" s="47"/>
      <c r="D102" s="60" t="s">
        <v>174</v>
      </c>
      <c r="E102" s="121">
        <v>3029.0</v>
      </c>
      <c r="F102" s="221" t="s">
        <v>690</v>
      </c>
      <c r="G102" s="101">
        <f> 5396 - 1.174*2031</f>
        <v>3011.606</v>
      </c>
      <c r="H102" s="222">
        <f t="shared" si="13"/>
        <v>0.00574248927</v>
      </c>
      <c r="I102" s="223"/>
      <c r="J102" s="224" t="s">
        <v>691</v>
      </c>
      <c r="K102" s="101">
        <f> -13014771 + 6481*2031</f>
        <v>148140</v>
      </c>
      <c r="L102" s="221" t="s">
        <v>692</v>
      </c>
      <c r="M102" s="100">
        <f> -12683256 + 6398*2031 - 53.9*3029</f>
        <v>147818.9</v>
      </c>
      <c r="N102" s="223"/>
      <c r="O102" s="157">
        <v>78200.0</v>
      </c>
      <c r="P102" s="56">
        <v>84108.4</v>
      </c>
      <c r="Q102" s="160">
        <v>0.07555498721227615</v>
      </c>
      <c r="R102" s="101">
        <f t="shared" si="14"/>
        <v>13732.71089</v>
      </c>
    </row>
    <row r="103">
      <c r="B103" s="120" t="s">
        <v>392</v>
      </c>
      <c r="C103" s="47"/>
      <c r="D103" s="60" t="s">
        <v>282</v>
      </c>
      <c r="E103" s="121">
        <v>3460.0</v>
      </c>
      <c r="F103" s="221" t="s">
        <v>693</v>
      </c>
      <c r="G103" s="56">
        <f> 1273 + 1.067*2031</f>
        <v>3440.077</v>
      </c>
      <c r="H103" s="222">
        <f t="shared" si="13"/>
        <v>0.005758092486</v>
      </c>
      <c r="I103" s="223"/>
      <c r="J103" s="224" t="s">
        <v>694</v>
      </c>
      <c r="K103" s="101">
        <f> -12826026 + 6388*2031</f>
        <v>148002</v>
      </c>
      <c r="L103" s="221" t="s">
        <v>695</v>
      </c>
      <c r="M103" s="100">
        <f> -12618379 + 6542*2031 - 151*3460</f>
        <v>145963</v>
      </c>
      <c r="N103" s="223"/>
      <c r="O103" s="157">
        <v>77250.0</v>
      </c>
      <c r="P103" s="56">
        <v>86583.0</v>
      </c>
      <c r="Q103" s="160">
        <v>0.12081553398058252</v>
      </c>
      <c r="R103" s="101">
        <f t="shared" si="14"/>
        <v>13560.29357</v>
      </c>
    </row>
    <row r="104">
      <c r="B104" s="120" t="s">
        <v>392</v>
      </c>
      <c r="C104" s="47"/>
      <c r="D104" s="20" t="s">
        <v>142</v>
      </c>
      <c r="E104" s="121">
        <v>3840.0</v>
      </c>
      <c r="F104" s="221" t="s">
        <v>696</v>
      </c>
      <c r="G104" s="56">
        <f> 1042 + 1.36*2031</f>
        <v>3804.16</v>
      </c>
      <c r="H104" s="222">
        <f t="shared" si="13"/>
        <v>0.009333333333</v>
      </c>
      <c r="I104" s="223"/>
      <c r="J104" s="224" t="s">
        <v>697</v>
      </c>
      <c r="K104" s="101">
        <f> -4528268 + 2266*2031</f>
        <v>73978</v>
      </c>
      <c r="L104" s="221" t="s">
        <v>698</v>
      </c>
      <c r="M104" s="234">
        <f> -4558311 + 2220*2031 + 32.5*3840</f>
        <v>75309</v>
      </c>
      <c r="N104" s="223"/>
      <c r="O104" s="157">
        <v>54350.0</v>
      </c>
      <c r="P104" s="56">
        <v>50119.0</v>
      </c>
      <c r="Q104" s="160">
        <v>0.07784728610855565</v>
      </c>
      <c r="R104" s="101">
        <f t="shared" si="14"/>
        <v>6996.376812</v>
      </c>
    </row>
    <row r="105">
      <c r="B105" s="120" t="s">
        <v>392</v>
      </c>
      <c r="C105" s="47"/>
      <c r="D105" s="60" t="s">
        <v>177</v>
      </c>
      <c r="E105" s="121">
        <v>4363.0</v>
      </c>
      <c r="F105" s="221" t="s">
        <v>699</v>
      </c>
      <c r="G105" s="63">
        <f> -7789 + 5.982*2031</f>
        <v>4360.442</v>
      </c>
      <c r="H105" s="222">
        <f t="shared" si="13"/>
        <v>0.0005862938345</v>
      </c>
      <c r="I105" s="223"/>
      <c r="J105" s="224" t="s">
        <v>700</v>
      </c>
      <c r="K105" s="101">
        <f> -5736287 + 2862*2031</f>
        <v>76435</v>
      </c>
      <c r="L105" s="221" t="s">
        <v>701</v>
      </c>
      <c r="M105" s="100">
        <f> -6651802 + 3539*2031 - 105.5*4363</f>
        <v>75610.5</v>
      </c>
      <c r="N105" s="223"/>
      <c r="O105" s="157">
        <v>45000.0</v>
      </c>
      <c r="P105" s="56">
        <v>44546.0</v>
      </c>
      <c r="Q105" s="160">
        <v>0.010088888888888889</v>
      </c>
      <c r="R105" s="101">
        <f t="shared" si="14"/>
        <v>7024.386845</v>
      </c>
    </row>
    <row r="106">
      <c r="B106" s="120" t="s">
        <v>398</v>
      </c>
      <c r="C106" s="47"/>
      <c r="D106" s="20" t="s">
        <v>238</v>
      </c>
      <c r="E106" s="121">
        <v>2131.0</v>
      </c>
      <c r="F106" s="221" t="s">
        <v>702</v>
      </c>
      <c r="G106" s="63">
        <f> - 2241 + 2.153*2031</f>
        <v>2131.743</v>
      </c>
      <c r="H106" s="222">
        <f t="shared" si="13"/>
        <v>0.0003486625997</v>
      </c>
      <c r="I106" s="223"/>
      <c r="J106" s="224" t="s">
        <v>703</v>
      </c>
      <c r="K106" s="101">
        <f> -6162178 + 3067*2031</f>
        <v>66899</v>
      </c>
      <c r="L106" s="221" t="s">
        <v>704</v>
      </c>
      <c r="M106" s="100">
        <f> -6229520 + 3172*2031 - 68.1*2131</f>
        <v>67690.9</v>
      </c>
      <c r="N106" s="223"/>
      <c r="O106" s="157">
        <v>36750.0</v>
      </c>
      <c r="P106" s="56">
        <v>35970.90000000002</v>
      </c>
      <c r="Q106" s="160">
        <v>0.021199999999999365</v>
      </c>
      <c r="R106" s="101">
        <f t="shared" si="14"/>
        <v>6288.638053</v>
      </c>
    </row>
    <row r="107">
      <c r="B107" s="120" t="s">
        <v>392</v>
      </c>
      <c r="C107" s="47"/>
      <c r="D107" s="20" t="s">
        <v>139</v>
      </c>
      <c r="E107" s="121">
        <v>7419.0</v>
      </c>
      <c r="F107" s="221" t="s">
        <v>705</v>
      </c>
      <c r="G107" s="63">
        <f> -11075 + 9.07*2031</f>
        <v>7346.17</v>
      </c>
      <c r="H107" s="222">
        <f t="shared" si="13"/>
        <v>0.009816686885</v>
      </c>
      <c r="I107" s="223"/>
      <c r="J107" s="224" t="s">
        <v>706</v>
      </c>
      <c r="K107" s="101">
        <f> -8262348 + 4124*2031</f>
        <v>113496</v>
      </c>
      <c r="L107" s="221" t="s">
        <v>707</v>
      </c>
      <c r="M107" s="100">
        <f> -8214035 + 4053.7*2031 + 12.82*7419</f>
        <v>114141.28</v>
      </c>
      <c r="N107" s="223"/>
      <c r="O107" s="157">
        <v>75000.0</v>
      </c>
      <c r="P107" s="56">
        <v>73527.35999999926</v>
      </c>
      <c r="Q107" s="160">
        <v>0.019635200000009886</v>
      </c>
      <c r="R107" s="101">
        <f t="shared" si="14"/>
        <v>10603.98365</v>
      </c>
    </row>
    <row r="108">
      <c r="B108" s="120" t="s">
        <v>392</v>
      </c>
      <c r="C108" s="47"/>
      <c r="D108" s="20" t="s">
        <v>135</v>
      </c>
      <c r="E108" s="121">
        <v>5817.0</v>
      </c>
      <c r="F108" s="221" t="s">
        <v>708</v>
      </c>
      <c r="G108" s="63">
        <f> - 22192 + 13.77*2031</f>
        <v>5774.87</v>
      </c>
      <c r="H108" s="222">
        <f t="shared" si="13"/>
        <v>0.007242564896</v>
      </c>
      <c r="I108" s="223"/>
      <c r="J108" s="224" t="s">
        <v>709</v>
      </c>
      <c r="K108" s="233">
        <f> -7195812 + 3586*2031</f>
        <v>87354</v>
      </c>
      <c r="L108" s="221" t="s">
        <v>710</v>
      </c>
      <c r="M108" s="100">
        <f> -7117261 + 3548*2031 - 0.09*5817</f>
        <v>88203.47</v>
      </c>
      <c r="N108" s="223"/>
      <c r="O108" s="157">
        <v>52500.0</v>
      </c>
      <c r="P108" s="56">
        <v>52723.56</v>
      </c>
      <c r="Q108" s="160">
        <v>0.00425828571428567</v>
      </c>
      <c r="R108" s="101">
        <f t="shared" si="14"/>
        <v>8194.302304</v>
      </c>
    </row>
    <row r="109">
      <c r="B109" s="120" t="s">
        <v>392</v>
      </c>
      <c r="C109" s="47"/>
      <c r="D109" s="60" t="s">
        <v>259</v>
      </c>
      <c r="E109" s="121">
        <v>2301.0</v>
      </c>
      <c r="F109" s="221" t="s">
        <v>711</v>
      </c>
      <c r="G109" s="63">
        <f> -466 + 1.355*2031</f>
        <v>2286.005</v>
      </c>
      <c r="H109" s="222">
        <f t="shared" si="13"/>
        <v>0.006516731856</v>
      </c>
      <c r="I109" s="223"/>
      <c r="J109" s="224" t="s">
        <v>712</v>
      </c>
      <c r="K109" s="101">
        <f> -10464404 + 5212*2031</f>
        <v>121168</v>
      </c>
      <c r="L109" s="221" t="s">
        <v>713</v>
      </c>
      <c r="M109" s="100">
        <f> -10456557 + 5011*2031 + 175*2301</f>
        <v>123459</v>
      </c>
      <c r="N109" s="223"/>
      <c r="O109" s="157">
        <v>74800.0</v>
      </c>
      <c r="P109" s="56">
        <v>68099.0</v>
      </c>
      <c r="Q109" s="160">
        <v>0.0895855614973262</v>
      </c>
      <c r="R109" s="101">
        <f t="shared" si="14"/>
        <v>11469.62096</v>
      </c>
    </row>
    <row r="110">
      <c r="B110" s="120" t="s">
        <v>392</v>
      </c>
      <c r="C110" s="47"/>
      <c r="D110" s="20" t="s">
        <v>157</v>
      </c>
      <c r="E110" s="121">
        <v>3058.0</v>
      </c>
      <c r="F110" s="221" t="s">
        <v>714</v>
      </c>
      <c r="G110" s="101">
        <f> -25924 + 14.28*2031</f>
        <v>3078.68</v>
      </c>
      <c r="H110" s="222">
        <f t="shared" si="13"/>
        <v>0.006762589928</v>
      </c>
      <c r="I110" s="223"/>
      <c r="J110" s="230" t="s">
        <v>715</v>
      </c>
      <c r="K110" s="17">
        <f> -9162611 + 4577 *2031</f>
        <v>133276</v>
      </c>
      <c r="L110" s="221" t="s">
        <v>716</v>
      </c>
      <c r="M110" s="234">
        <f> -10001247 + 5037.9*2031 - 31.77*3058</f>
        <v>133575.24</v>
      </c>
      <c r="N110" s="223"/>
      <c r="O110" s="157">
        <v>83590.0</v>
      </c>
      <c r="P110" s="56">
        <v>83037.38999999852</v>
      </c>
      <c r="Q110" s="160">
        <v>0.006610958248612094</v>
      </c>
      <c r="R110" s="101">
        <f t="shared" si="14"/>
        <v>12409.44259</v>
      </c>
    </row>
    <row r="111">
      <c r="B111" s="120" t="s">
        <v>392</v>
      </c>
      <c r="C111" s="47"/>
      <c r="D111" s="60" t="s">
        <v>162</v>
      </c>
      <c r="E111" s="121">
        <v>1409.0</v>
      </c>
      <c r="F111" s="221" t="s">
        <v>717</v>
      </c>
      <c r="G111" s="101">
        <f> 919.7 + 0.2409*2031</f>
        <v>1408.9679</v>
      </c>
      <c r="H111" s="222">
        <f t="shared" si="13"/>
        <v>0.00002278211498</v>
      </c>
      <c r="I111" s="223"/>
      <c r="J111" s="224" t="s">
        <v>647</v>
      </c>
      <c r="K111" s="235">
        <f> -4844082 + 2417*2031</f>
        <v>64845</v>
      </c>
      <c r="L111" s="221" t="s">
        <v>718</v>
      </c>
      <c r="M111" s="234">
        <f> -4552011 + 2524*2031 - 362*1409</f>
        <v>64175</v>
      </c>
      <c r="N111" s="223"/>
      <c r="O111" s="157">
        <v>39760.0</v>
      </c>
      <c r="P111" s="56">
        <v>38573.0</v>
      </c>
      <c r="Q111" s="160">
        <v>0.029854124748490946</v>
      </c>
      <c r="R111" s="101">
        <f t="shared" si="14"/>
        <v>5962.002973</v>
      </c>
    </row>
    <row r="112">
      <c r="B112" s="120" t="s">
        <v>398</v>
      </c>
      <c r="C112" s="47"/>
      <c r="D112" s="60" t="s">
        <v>219</v>
      </c>
      <c r="E112" s="121">
        <v>6314.0</v>
      </c>
      <c r="F112" s="221" t="s">
        <v>719</v>
      </c>
      <c r="G112" s="235">
        <f> 4426 + 0.89*2031</f>
        <v>6233.59</v>
      </c>
      <c r="H112" s="222">
        <f t="shared" si="13"/>
        <v>0.01273519164</v>
      </c>
      <c r="I112" s="223"/>
      <c r="J112" s="224" t="s">
        <v>720</v>
      </c>
      <c r="K112" s="235">
        <f> -5157635 + 2582*2031</f>
        <v>86407</v>
      </c>
      <c r="L112" s="221" t="s">
        <v>721</v>
      </c>
      <c r="M112" s="100">
        <f> -5268673 + 2630*2031 +1.99*6314</f>
        <v>85421.86</v>
      </c>
      <c r="N112" s="223"/>
      <c r="O112" s="157">
        <v>61600.0</v>
      </c>
      <c r="P112" s="56">
        <v>59187.53</v>
      </c>
      <c r="Q112" s="160">
        <v>0.039163474025974046</v>
      </c>
      <c r="R112" s="101">
        <f t="shared" si="14"/>
        <v>7935.88443</v>
      </c>
    </row>
    <row r="113">
      <c r="B113" s="120" t="s">
        <v>392</v>
      </c>
      <c r="C113" s="47"/>
      <c r="D113" s="20" t="s">
        <v>153</v>
      </c>
      <c r="E113" s="121">
        <v>2173.0</v>
      </c>
      <c r="F113" s="221" t="s">
        <v>722</v>
      </c>
      <c r="G113" s="235">
        <f> 8351 - 3.059*2031</f>
        <v>2138.171</v>
      </c>
      <c r="H113" s="222">
        <f t="shared" si="13"/>
        <v>0.01602807179</v>
      </c>
      <c r="I113" s="223"/>
      <c r="J113" s="224" t="s">
        <v>723</v>
      </c>
      <c r="K113" s="236">
        <f> -15755989 + 7841*2031</f>
        <v>169082</v>
      </c>
      <c r="L113" s="221" t="s">
        <v>724</v>
      </c>
      <c r="M113" s="234">
        <f> -16062816 + 7956*2031 + 34*2173</f>
        <v>169702</v>
      </c>
      <c r="N113" s="223"/>
      <c r="O113" s="157">
        <v>95790.0</v>
      </c>
      <c r="P113" s="56">
        <v>89394.0</v>
      </c>
      <c r="Q113" s="160">
        <v>0.0667710616974632</v>
      </c>
      <c r="R113" s="101">
        <f t="shared" si="14"/>
        <v>15765.70048</v>
      </c>
    </row>
    <row r="114">
      <c r="B114" s="120" t="s">
        <v>392</v>
      </c>
      <c r="C114" s="47"/>
      <c r="D114" s="20" t="s">
        <v>234</v>
      </c>
      <c r="E114" s="121">
        <v>7019.0</v>
      </c>
      <c r="F114" s="221" t="s">
        <v>725</v>
      </c>
      <c r="G114" s="236">
        <f> -105212 + 55.21*2031</f>
        <v>6919.51</v>
      </c>
      <c r="H114" s="222">
        <f t="shared" si="13"/>
        <v>0.01417438382</v>
      </c>
      <c r="I114" s="223"/>
      <c r="J114" s="224" t="s">
        <v>726</v>
      </c>
      <c r="K114" s="236">
        <f> -3231564 + 1620*2031</f>
        <v>58656</v>
      </c>
      <c r="L114" s="221" t="s">
        <v>727</v>
      </c>
      <c r="M114" s="100">
        <f> -2650088 + 1312*2031 + 6.337*7019</f>
        <v>59063.403</v>
      </c>
      <c r="N114" s="223"/>
      <c r="O114" s="157">
        <v>44500.0</v>
      </c>
      <c r="P114" s="56">
        <v>43605.049999999996</v>
      </c>
      <c r="Q114" s="160">
        <v>0.02011123595505628</v>
      </c>
      <c r="R114" s="101">
        <f t="shared" si="14"/>
        <v>5487.124025</v>
      </c>
    </row>
    <row r="115">
      <c r="B115" s="120" t="s">
        <v>392</v>
      </c>
      <c r="C115" s="47"/>
      <c r="D115" s="20" t="s">
        <v>55</v>
      </c>
      <c r="E115" s="122">
        <v>3447.0</v>
      </c>
      <c r="F115" s="221" t="s">
        <v>728</v>
      </c>
      <c r="G115" s="236">
        <f> -4224 + 3.762*2031</f>
        <v>3416.622</v>
      </c>
      <c r="H115" s="222">
        <f t="shared" si="13"/>
        <v>0.008812880766</v>
      </c>
      <c r="I115" s="223"/>
      <c r="J115" s="224" t="s">
        <v>729</v>
      </c>
      <c r="K115" s="235">
        <f> -14628863 + 7301*2031</f>
        <v>199468</v>
      </c>
      <c r="L115" s="221" t="s">
        <v>730</v>
      </c>
      <c r="M115" s="234">
        <f> -15278437 + 7842*2031 - 131.6*3447</f>
        <v>195039.8</v>
      </c>
      <c r="N115" s="223"/>
      <c r="O115" s="86">
        <v>112000.0</v>
      </c>
      <c r="P115" s="56">
        <v>117804.20000000001</v>
      </c>
      <c r="Q115" s="160">
        <v>0.05182321428571439</v>
      </c>
      <c r="R115" s="101">
        <f t="shared" si="14"/>
        <v>18119.63954</v>
      </c>
    </row>
    <row r="116">
      <c r="B116" s="120" t="s">
        <v>392</v>
      </c>
      <c r="C116" s="47"/>
      <c r="D116" s="20" t="s">
        <v>144</v>
      </c>
      <c r="E116" s="121">
        <v>2877.0</v>
      </c>
      <c r="F116" s="221" t="s">
        <v>731</v>
      </c>
      <c r="G116" s="235">
        <f> -15337 + 8.963*2031</f>
        <v>2866.853</v>
      </c>
      <c r="H116" s="222">
        <f t="shared" si="13"/>
        <v>0.003526937782</v>
      </c>
      <c r="I116" s="223"/>
      <c r="J116" s="224" t="s">
        <v>732</v>
      </c>
      <c r="K116" s="236">
        <f> -13163930 + 6561*2031</f>
        <v>161461</v>
      </c>
      <c r="L116" s="221" t="s">
        <v>733</v>
      </c>
      <c r="M116" s="234">
        <f> -13949970 + 7025*2031 - 54.6*2877</f>
        <v>160720.8</v>
      </c>
      <c r="N116" s="223"/>
      <c r="O116" s="157">
        <v>92340.0</v>
      </c>
      <c r="P116" s="56">
        <v>92491.0</v>
      </c>
      <c r="Q116" s="160">
        <v>0.0016352609919861381</v>
      </c>
      <c r="R116" s="101">
        <f t="shared" si="14"/>
        <v>14931.32664</v>
      </c>
    </row>
    <row r="117">
      <c r="B117" s="120" t="s">
        <v>392</v>
      </c>
      <c r="C117" s="47"/>
      <c r="D117" s="20" t="s">
        <v>313</v>
      </c>
      <c r="E117" s="121">
        <v>3327.0</v>
      </c>
      <c r="F117" s="221" t="s">
        <v>734</v>
      </c>
      <c r="G117" s="236">
        <f> -43811 + 23.22*2031</f>
        <v>3348.82</v>
      </c>
      <c r="H117" s="222">
        <f t="shared" si="13"/>
        <v>0.006558461076</v>
      </c>
      <c r="I117" s="223"/>
      <c r="J117" s="224" t="s">
        <v>735</v>
      </c>
      <c r="K117" s="101">
        <f> -7149848 + 3563*2031</f>
        <v>86605</v>
      </c>
      <c r="L117" s="221" t="s">
        <v>736</v>
      </c>
      <c r="M117" s="100">
        <f> -7047086 + 3510*2031 + 1.4*3327</f>
        <v>86381.8</v>
      </c>
      <c r="N117" s="223"/>
      <c r="O117" s="157">
        <v>52250.0</v>
      </c>
      <c r="P117" s="56">
        <v>51185.2</v>
      </c>
      <c r="Q117" s="160">
        <v>0.020378947368421108</v>
      </c>
      <c r="R117" s="101">
        <f t="shared" si="14"/>
        <v>8025.065032</v>
      </c>
    </row>
    <row r="118">
      <c r="B118" s="120" t="s">
        <v>392</v>
      </c>
      <c r="C118" s="47"/>
      <c r="D118" s="60" t="s">
        <v>164</v>
      </c>
      <c r="E118" s="121">
        <v>1675.0</v>
      </c>
      <c r="F118" s="221" t="s">
        <v>737</v>
      </c>
      <c r="G118" s="236">
        <f> 1033 + 0.301*2031</f>
        <v>1644.331</v>
      </c>
      <c r="H118" s="222">
        <f t="shared" si="13"/>
        <v>0.01830985075</v>
      </c>
      <c r="I118" s="223"/>
      <c r="J118" s="224" t="s">
        <v>738</v>
      </c>
      <c r="K118" s="101">
        <f> -6020039 + 3001*2031</f>
        <v>74992</v>
      </c>
      <c r="L118" s="221" t="s">
        <v>739</v>
      </c>
      <c r="M118" s="100">
        <f> -6000104 + 2999*2031 - 9.3*1675</f>
        <v>75287.5</v>
      </c>
      <c r="N118" s="223"/>
      <c r="O118" s="157">
        <v>45600.0</v>
      </c>
      <c r="P118" s="56">
        <v>45632.3</v>
      </c>
      <c r="Q118" s="160">
        <v>7.083333333333971E-4</v>
      </c>
      <c r="R118" s="101">
        <f t="shared" si="14"/>
        <v>6994.379413</v>
      </c>
    </row>
    <row r="119">
      <c r="B119" s="120" t="s">
        <v>392</v>
      </c>
      <c r="C119" s="47"/>
      <c r="D119" s="20" t="s">
        <v>365</v>
      </c>
      <c r="E119" s="121">
        <v>5293.0</v>
      </c>
      <c r="F119" s="221" t="s">
        <v>740</v>
      </c>
      <c r="G119" s="101">
        <f> -196213 + 99.13*2031</f>
        <v>5120.03</v>
      </c>
      <c r="H119" s="222">
        <f t="shared" si="13"/>
        <v>0.03267901001</v>
      </c>
      <c r="I119" s="223"/>
      <c r="J119" s="224" t="s">
        <v>741</v>
      </c>
      <c r="K119" s="101">
        <f> -978175 + 492.9*2031</f>
        <v>22904.9</v>
      </c>
      <c r="L119" s="221" t="s">
        <v>742</v>
      </c>
      <c r="M119" s="100">
        <f> -454582 + 228*2031 + 2.66*5293</f>
        <v>22565.38</v>
      </c>
      <c r="N119" s="223"/>
      <c r="O119" s="157">
        <v>20600.0</v>
      </c>
      <c r="P119" s="56">
        <v>17388.64</v>
      </c>
      <c r="Q119" s="160">
        <v>0.15589126213592236</v>
      </c>
      <c r="R119" s="101">
        <f t="shared" si="14"/>
        <v>2096.374954</v>
      </c>
    </row>
    <row r="120">
      <c r="B120" s="120" t="s">
        <v>392</v>
      </c>
      <c r="C120" s="47"/>
      <c r="D120" s="20" t="s">
        <v>335</v>
      </c>
      <c r="E120" s="121">
        <v>3237.0</v>
      </c>
      <c r="F120" s="221" t="s">
        <v>743</v>
      </c>
      <c r="G120" s="101">
        <f> -60455 + 31.37*2031</f>
        <v>3257.47</v>
      </c>
      <c r="H120" s="222">
        <f t="shared" si="13"/>
        <v>0.006323756565</v>
      </c>
      <c r="I120" s="223"/>
      <c r="J120" s="224" t="s">
        <v>744</v>
      </c>
      <c r="K120" s="101">
        <f> -5192892 + 2586*2031</f>
        <v>59274</v>
      </c>
      <c r="L120" s="221" t="s">
        <v>745</v>
      </c>
      <c r="M120" s="237">
        <f> -6406185 + 3216*2031 - 20.05*3237</f>
        <v>60609.15</v>
      </c>
      <c r="N120" s="223"/>
      <c r="O120" s="157">
        <v>31600.0</v>
      </c>
      <c r="P120" s="68">
        <v>31035.6</v>
      </c>
      <c r="Q120" s="160">
        <v>0.01786075949367093</v>
      </c>
      <c r="R120" s="101">
        <f t="shared" si="14"/>
        <v>5630.727425</v>
      </c>
    </row>
    <row r="121">
      <c r="B121" s="120" t="s">
        <v>392</v>
      </c>
      <c r="C121" s="47"/>
      <c r="D121" s="20" t="s">
        <v>288</v>
      </c>
      <c r="E121" s="121">
        <v>14968.0</v>
      </c>
      <c r="F121" s="221" t="s">
        <v>746</v>
      </c>
      <c r="G121" s="101">
        <f> -563287 + 284.6*2031</f>
        <v>14735.6</v>
      </c>
      <c r="H121" s="222">
        <f t="shared" si="13"/>
        <v>0.01552645644</v>
      </c>
      <c r="I121" s="223"/>
      <c r="J121" s="224" t="s">
        <v>747</v>
      </c>
      <c r="K121" s="101">
        <f> -8526802 + 4260*2031</f>
        <v>125258</v>
      </c>
      <c r="L121" s="221" t="s">
        <v>748</v>
      </c>
      <c r="M121" s="100">
        <f> -8413495 + 4202.2*2031 + 0.2683*14968</f>
        <v>125189.1144</v>
      </c>
      <c r="N121" s="223"/>
      <c r="O121" s="157">
        <v>82700.0</v>
      </c>
      <c r="P121" s="56">
        <v>82589.46449999926</v>
      </c>
      <c r="Q121" s="160">
        <v>0.0013365840387030265</v>
      </c>
      <c r="R121" s="101">
        <f t="shared" si="14"/>
        <v>11630.35251</v>
      </c>
    </row>
    <row r="122">
      <c r="B122" s="120" t="s">
        <v>392</v>
      </c>
      <c r="C122" s="47"/>
      <c r="D122" s="20" t="s">
        <v>138</v>
      </c>
      <c r="E122" s="121">
        <v>3104.0</v>
      </c>
      <c r="F122" s="221" t="s">
        <v>749</v>
      </c>
      <c r="G122" s="101">
        <f> -554 + 1.798*2031</f>
        <v>3097.738</v>
      </c>
      <c r="H122" s="222">
        <f t="shared" si="13"/>
        <v>0.002017396907</v>
      </c>
      <c r="I122" s="223"/>
      <c r="J122" s="224" t="s">
        <v>750</v>
      </c>
      <c r="K122" s="101">
        <f> -2717068 + 1366*2031</f>
        <v>57278</v>
      </c>
      <c r="L122" s="221" t="s">
        <v>751</v>
      </c>
      <c r="M122" s="100">
        <f> -2678854 + 1252*2031 + 62.1*3104</f>
        <v>56716.4</v>
      </c>
      <c r="N122" s="223"/>
      <c r="O122" s="157">
        <v>45750.0</v>
      </c>
      <c r="P122" s="56">
        <v>43885.899999999994</v>
      </c>
      <c r="Q122" s="160">
        <v>0.04074535519125696</v>
      </c>
      <c r="R122" s="101">
        <f t="shared" si="14"/>
        <v>5269.082126</v>
      </c>
    </row>
    <row r="123">
      <c r="B123" s="120" t="s">
        <v>392</v>
      </c>
      <c r="C123" s="47"/>
      <c r="D123" s="20" t="s">
        <v>311</v>
      </c>
      <c r="E123" s="121">
        <v>4725.0</v>
      </c>
      <c r="F123" s="221" t="s">
        <v>752</v>
      </c>
      <c r="G123" s="101">
        <f> -267 + 2.455*2031</f>
        <v>4719.105</v>
      </c>
      <c r="H123" s="222">
        <f t="shared" si="13"/>
        <v>0.001247619048</v>
      </c>
      <c r="I123" s="223"/>
      <c r="J123" s="224" t="s">
        <v>753</v>
      </c>
      <c r="K123" s="238">
        <f> - 7100038 + 3539*2031</f>
        <v>87671</v>
      </c>
      <c r="L123" s="221" t="s">
        <v>754</v>
      </c>
      <c r="M123" s="100">
        <f>-7116275 + 3622*2031 - 32.3*4725</f>
        <v>87389.5</v>
      </c>
      <c r="N123" s="223"/>
      <c r="O123" s="157">
        <v>50000.0</v>
      </c>
      <c r="P123" s="56">
        <v>51104.90000000002</v>
      </c>
      <c r="Q123" s="160">
        <v>0.022098000000000464</v>
      </c>
      <c r="R123" s="101">
        <f t="shared" si="14"/>
        <v>8118.682646</v>
      </c>
    </row>
    <row r="124">
      <c r="B124" s="120" t="s">
        <v>392</v>
      </c>
      <c r="C124" s="47"/>
      <c r="D124" s="60" t="s">
        <v>258</v>
      </c>
      <c r="E124" s="121">
        <v>16302.0</v>
      </c>
      <c r="F124" s="221" t="s">
        <v>755</v>
      </c>
      <c r="G124" s="238">
        <f> -499093 + 253.7*2031</f>
        <v>16171.7</v>
      </c>
      <c r="H124" s="222">
        <f t="shared" si="13"/>
        <v>0.007992884309</v>
      </c>
      <c r="I124" s="223"/>
      <c r="J124" s="224" t="s">
        <v>756</v>
      </c>
      <c r="K124" s="101">
        <f> -8291671 + 4136*2031</f>
        <v>108545</v>
      </c>
      <c r="L124" s="221" t="s">
        <v>757</v>
      </c>
      <c r="M124" s="239">
        <f> -5847917 + 2892*2031 + 5.04*16302</f>
        <v>107897.08</v>
      </c>
      <c r="N124" s="223"/>
      <c r="O124" s="157">
        <v>74800.0</v>
      </c>
      <c r="P124" s="68">
        <v>72339.4</v>
      </c>
      <c r="Q124" s="160">
        <v>0.03289572192513377</v>
      </c>
      <c r="R124" s="101">
        <f t="shared" si="14"/>
        <v>10023.88331</v>
      </c>
    </row>
    <row r="125">
      <c r="B125" s="120" t="s">
        <v>392</v>
      </c>
      <c r="C125" s="47"/>
      <c r="D125" s="60" t="s">
        <v>257</v>
      </c>
      <c r="E125" s="122">
        <v>9240.0</v>
      </c>
      <c r="F125" s="221" t="s">
        <v>758</v>
      </c>
      <c r="G125" s="101">
        <f> -148408 + 77.56*2031</f>
        <v>9116.36</v>
      </c>
      <c r="H125" s="222">
        <f t="shared" si="13"/>
        <v>0.01338095238</v>
      </c>
      <c r="I125" s="223"/>
      <c r="J125" s="224" t="s">
        <v>759</v>
      </c>
      <c r="K125" s="101">
        <f> -15792714 + 7872*2031</f>
        <v>195318</v>
      </c>
      <c r="L125" s="221" t="s">
        <v>760</v>
      </c>
      <c r="M125" s="100">
        <f> -16748998 + 8373*2031 - 6.6*9240</f>
        <v>195581</v>
      </c>
      <c r="N125" s="223"/>
      <c r="O125" s="86">
        <v>112000.0</v>
      </c>
      <c r="P125" s="56">
        <v>115322.6</v>
      </c>
      <c r="Q125" s="160">
        <v>0.02966607142857148</v>
      </c>
      <c r="R125" s="101">
        <f t="shared" si="14"/>
        <v>18169.91825</v>
      </c>
    </row>
    <row r="126">
      <c r="B126" s="120" t="s">
        <v>392</v>
      </c>
      <c r="C126" s="47"/>
      <c r="D126" s="20" t="s">
        <v>38</v>
      </c>
      <c r="E126" s="122">
        <v>1892.0</v>
      </c>
      <c r="F126" s="221" t="s">
        <v>761</v>
      </c>
      <c r="G126" s="101">
        <f> -1337 + 1.588*2031</f>
        <v>1888.228</v>
      </c>
      <c r="H126" s="222">
        <f t="shared" si="13"/>
        <v>0.001993657505</v>
      </c>
      <c r="I126" s="223"/>
      <c r="J126" s="224" t="s">
        <v>762</v>
      </c>
      <c r="K126" s="101">
        <f> -10072555 + 5025*2031</f>
        <v>133220</v>
      </c>
      <c r="L126" s="221" t="s">
        <v>763</v>
      </c>
      <c r="M126" s="239">
        <f> -10731468 + 5742*2031 - 422*1892</f>
        <v>132110</v>
      </c>
      <c r="N126" s="223"/>
      <c r="O126" s="86">
        <v>74300.0</v>
      </c>
      <c r="P126" s="68">
        <v>76378.0</v>
      </c>
      <c r="Q126" s="160">
        <v>0.02796769851951548</v>
      </c>
      <c r="R126" s="101">
        <f t="shared" si="14"/>
        <v>12273.31847</v>
      </c>
    </row>
    <row r="127">
      <c r="B127" s="120" t="s">
        <v>392</v>
      </c>
      <c r="C127" s="47"/>
      <c r="D127" s="20" t="s">
        <v>150</v>
      </c>
      <c r="E127" s="122">
        <v>3263.0</v>
      </c>
      <c r="F127" s="221" t="s">
        <v>764</v>
      </c>
      <c r="G127" s="101">
        <f> 6740 - 1.725*2031</f>
        <v>3236.525</v>
      </c>
      <c r="H127" s="222">
        <f t="shared" si="13"/>
        <v>0.00811369905</v>
      </c>
      <c r="I127" s="223"/>
      <c r="J127" s="224" t="s">
        <v>765</v>
      </c>
      <c r="K127" s="101">
        <f> -13193871 + 6575*2031</f>
        <v>159954</v>
      </c>
      <c r="L127" s="221" t="s">
        <v>766</v>
      </c>
      <c r="M127" s="100">
        <f> -13135721 + 6573*2031 - 16.5*3263</f>
        <v>160202.5</v>
      </c>
      <c r="N127" s="223"/>
      <c r="O127" s="86">
        <v>95790.0</v>
      </c>
      <c r="P127" s="56">
        <v>94357.0</v>
      </c>
      <c r="Q127" s="160">
        <v>0.014959807913143334</v>
      </c>
      <c r="R127" s="101">
        <f t="shared" si="14"/>
        <v>14883.1754</v>
      </c>
    </row>
    <row r="128">
      <c r="B128" s="120" t="s">
        <v>392</v>
      </c>
      <c r="C128" s="47"/>
      <c r="D128" s="60" t="s">
        <v>187</v>
      </c>
      <c r="E128" s="121">
        <v>2767.0</v>
      </c>
      <c r="F128" s="221" t="s">
        <v>767</v>
      </c>
      <c r="G128" s="101">
        <f> -33526 + 17.88*2031</f>
        <v>2788.28</v>
      </c>
      <c r="H128" s="222">
        <f t="shared" si="13"/>
        <v>0.007690639682</v>
      </c>
      <c r="I128" s="223"/>
      <c r="J128" s="224" t="s">
        <v>768</v>
      </c>
      <c r="K128" s="101">
        <f> -1459998 + 751*2031</f>
        <v>65283</v>
      </c>
      <c r="L128" s="221" t="s">
        <v>769</v>
      </c>
      <c r="M128" s="100">
        <f> -960917 + 485*2031 + 14.94*2767</f>
        <v>65456.98</v>
      </c>
      <c r="N128" s="223"/>
      <c r="O128" s="157">
        <v>59500.0</v>
      </c>
      <c r="P128" s="56">
        <v>60532.28</v>
      </c>
      <c r="Q128" s="160">
        <v>0.01734924369747897</v>
      </c>
      <c r="R128" s="101">
        <f t="shared" si="14"/>
        <v>6081.101821</v>
      </c>
    </row>
    <row r="129">
      <c r="B129" s="120" t="s">
        <v>398</v>
      </c>
      <c r="C129" s="47"/>
      <c r="D129" s="60" t="s">
        <v>200</v>
      </c>
      <c r="E129" s="122">
        <v>3571.0</v>
      </c>
      <c r="F129" s="221" t="s">
        <v>770</v>
      </c>
      <c r="G129" s="101">
        <f> 3251 + 0.152*2031</f>
        <v>3559.712</v>
      </c>
      <c r="H129" s="222">
        <f t="shared" si="13"/>
        <v>0.003161019322</v>
      </c>
      <c r="I129" s="223"/>
      <c r="J129" s="224" t="s">
        <v>771</v>
      </c>
      <c r="K129" s="101">
        <f> -7949616 + 3966*2031</f>
        <v>105330</v>
      </c>
      <c r="L129" s="221" t="s">
        <v>772</v>
      </c>
      <c r="M129" s="100">
        <f> -7827931 + 4016*2031 - 62*3571</f>
        <v>107163</v>
      </c>
      <c r="N129" s="223"/>
      <c r="O129" s="86">
        <v>63000.0</v>
      </c>
      <c r="P129" s="56">
        <v>68119.0</v>
      </c>
      <c r="Q129" s="160">
        <v>0.08125396825396826</v>
      </c>
      <c r="R129" s="101">
        <f t="shared" si="14"/>
        <v>9955.685619</v>
      </c>
    </row>
    <row r="130">
      <c r="B130" s="120" t="s">
        <v>392</v>
      </c>
      <c r="C130" s="47"/>
      <c r="D130" s="20" t="s">
        <v>290</v>
      </c>
      <c r="E130" s="121">
        <v>4453.0</v>
      </c>
      <c r="F130" s="221" t="s">
        <v>773</v>
      </c>
      <c r="G130" s="101">
        <f> -7811 + 6.033*2031</f>
        <v>4442.023</v>
      </c>
      <c r="H130" s="222">
        <f t="shared" si="13"/>
        <v>0.002465079722</v>
      </c>
      <c r="I130" s="223"/>
      <c r="J130" s="224" t="s">
        <v>774</v>
      </c>
      <c r="K130" s="101">
        <f>- 10854676 + 5406 *2031</f>
        <v>124910</v>
      </c>
      <c r="L130" s="221" t="s">
        <v>775</v>
      </c>
      <c r="M130" s="100">
        <f>-10749322 + 5338 *2031+ 7.5 *4453</f>
        <v>125553.5</v>
      </c>
      <c r="N130" s="223"/>
      <c r="O130" s="157">
        <v>95790.0</v>
      </c>
      <c r="P130" s="56">
        <f> -10749322 + 5338*2021 + 7.5 *4446</f>
        <v>72121</v>
      </c>
      <c r="Q130" s="231">
        <f>ABS(O130-P130)/O130</f>
        <v>0.2470925984</v>
      </c>
      <c r="R130" s="101">
        <f t="shared" si="14"/>
        <v>11664.20476</v>
      </c>
    </row>
    <row r="131">
      <c r="B131" s="120" t="s">
        <v>392</v>
      </c>
      <c r="C131" s="47"/>
      <c r="D131" s="60" t="s">
        <v>324</v>
      </c>
      <c r="E131" s="121">
        <v>5202.0</v>
      </c>
      <c r="F131" s="229" t="s">
        <v>776</v>
      </c>
      <c r="G131" s="101">
        <f> -62378 + 33.3*2031</f>
        <v>5254.3</v>
      </c>
      <c r="H131" s="222">
        <f t="shared" si="13"/>
        <v>0.01005382545</v>
      </c>
      <c r="I131" s="223"/>
      <c r="J131" s="230" t="s">
        <v>777</v>
      </c>
      <c r="K131" s="150">
        <f> -5887380 + 2933*2031</f>
        <v>69543</v>
      </c>
      <c r="L131" s="232" t="s">
        <v>778</v>
      </c>
      <c r="M131" s="100">
        <f> -6177054 + 3083.7*2031 - 3.17*5202</f>
        <v>69450.36</v>
      </c>
      <c r="N131" s="223"/>
      <c r="O131" s="157">
        <v>39300.0</v>
      </c>
      <c r="P131" s="56">
        <v>38800.38999999926</v>
      </c>
      <c r="Q131" s="160">
        <v>0.012712722646329331</v>
      </c>
      <c r="R131" s="101">
        <f t="shared" si="14"/>
        <v>6452.095875</v>
      </c>
    </row>
    <row r="132">
      <c r="B132" s="120" t="s">
        <v>392</v>
      </c>
      <c r="C132" s="47"/>
      <c r="D132" s="20" t="s">
        <v>293</v>
      </c>
      <c r="E132" s="121">
        <v>3942.0</v>
      </c>
      <c r="F132" s="221" t="s">
        <v>779</v>
      </c>
      <c r="G132" s="101">
        <f> 6922 - 1.49*2031</f>
        <v>3895.81</v>
      </c>
      <c r="H132" s="222">
        <f t="shared" si="13"/>
        <v>0.01171740233</v>
      </c>
      <c r="I132" s="223"/>
      <c r="J132" s="224" t="s">
        <v>780</v>
      </c>
      <c r="K132" s="233">
        <f> -6657106 + 3328*2031</f>
        <v>102062</v>
      </c>
      <c r="L132" s="221" t="s">
        <v>781</v>
      </c>
      <c r="M132" s="100">
        <f> -6663540 + 3345*2031 - 7*3942</f>
        <v>102561</v>
      </c>
      <c r="N132" s="223"/>
      <c r="O132" s="157">
        <v>62000.0</v>
      </c>
      <c r="P132" s="56">
        <v>69069.0</v>
      </c>
      <c r="Q132" s="160">
        <v>0.11401612903225807</v>
      </c>
      <c r="R132" s="101">
        <f t="shared" si="14"/>
        <v>9528.149387</v>
      </c>
    </row>
    <row r="133">
      <c r="B133" s="120" t="s">
        <v>392</v>
      </c>
      <c r="C133" s="47"/>
      <c r="D133" s="60" t="s">
        <v>272</v>
      </c>
      <c r="E133" s="121">
        <v>4250.0</v>
      </c>
      <c r="F133" s="221" t="s">
        <v>782</v>
      </c>
      <c r="G133" s="101">
        <f> -17081 + 10.48*2031</f>
        <v>4203.88</v>
      </c>
      <c r="H133" s="222">
        <f t="shared" si="13"/>
        <v>0.01085176471</v>
      </c>
      <c r="I133" s="223"/>
      <c r="J133" s="224" t="s">
        <v>607</v>
      </c>
      <c r="K133" s="101">
        <f> -24349463 + 12126*2031</f>
        <v>278443</v>
      </c>
      <c r="L133" s="221" t="s">
        <v>783</v>
      </c>
      <c r="M133" s="100">
        <f> -24588435 + 12266*2031 - 10.7*4250</f>
        <v>278336</v>
      </c>
      <c r="N133" s="223"/>
      <c r="O133" s="157">
        <v>155040.0</v>
      </c>
      <c r="P133" s="56">
        <v>156553.4</v>
      </c>
      <c r="Q133" s="160">
        <v>0.009761351909184689</v>
      </c>
      <c r="R133" s="101">
        <f t="shared" si="14"/>
        <v>25858.04534</v>
      </c>
    </row>
    <row r="134">
      <c r="B134" s="120" t="s">
        <v>392</v>
      </c>
      <c r="C134" s="47"/>
      <c r="D134" s="60" t="s">
        <v>184</v>
      </c>
      <c r="E134" s="121">
        <v>5864.0</v>
      </c>
      <c r="F134" s="221" t="s">
        <v>784</v>
      </c>
      <c r="G134" s="101">
        <f> -13895 + 9.71*2031</f>
        <v>5826.01</v>
      </c>
      <c r="H134" s="222">
        <f t="shared" si="13"/>
        <v>0.00647851296</v>
      </c>
      <c r="I134" s="223"/>
      <c r="J134" s="224" t="s">
        <v>785</v>
      </c>
      <c r="K134" s="101">
        <f> -3767921 + 1889*2031</f>
        <v>68638</v>
      </c>
      <c r="L134" s="221" t="s">
        <v>786</v>
      </c>
      <c r="M134" s="100">
        <f> -3751887 + 1872.7*2031 + 2.93*5864</f>
        <v>68748.22</v>
      </c>
      <c r="N134" s="223"/>
      <c r="O134" s="157">
        <v>50000.0</v>
      </c>
      <c r="P134" s="56">
        <v>49792.68000000018</v>
      </c>
      <c r="Q134" s="160">
        <v>0.004146399999996356</v>
      </c>
      <c r="R134" s="101">
        <f t="shared" si="14"/>
        <v>6386.865478</v>
      </c>
    </row>
    <row r="135">
      <c r="B135" s="120" t="s">
        <v>392</v>
      </c>
      <c r="C135" s="47"/>
      <c r="D135" s="20" t="s">
        <v>43</v>
      </c>
      <c r="E135" s="122">
        <v>5560.0</v>
      </c>
      <c r="F135" s="221" t="s">
        <v>787</v>
      </c>
      <c r="G135" s="101">
        <f> -110738 + 57.26*2031</f>
        <v>5557.06</v>
      </c>
      <c r="H135" s="222">
        <f t="shared" si="13"/>
        <v>0.0005287769784</v>
      </c>
      <c r="I135" s="223"/>
      <c r="J135" s="224" t="s">
        <v>788</v>
      </c>
      <c r="K135" s="101">
        <f> -11051962 + 5532*2031</f>
        <v>183530</v>
      </c>
      <c r="L135" s="221" t="s">
        <v>789</v>
      </c>
      <c r="M135" s="100">
        <f> -11521638 + 5776*2031 - 4.57*5560</f>
        <v>184008.8</v>
      </c>
      <c r="N135" s="223"/>
      <c r="O135" s="86">
        <v>127300.0</v>
      </c>
      <c r="P135" s="56">
        <v>127190.22</v>
      </c>
      <c r="Q135" s="160">
        <v>8.623723487823946E-4</v>
      </c>
      <c r="R135" s="101">
        <f t="shared" si="14"/>
        <v>17094.83463</v>
      </c>
    </row>
    <row r="136">
      <c r="B136" s="120" t="s">
        <v>392</v>
      </c>
      <c r="C136" s="47"/>
      <c r="D136" s="60" t="s">
        <v>263</v>
      </c>
      <c r="E136" s="121">
        <v>3193.0</v>
      </c>
      <c r="F136" s="221" t="s">
        <v>790</v>
      </c>
      <c r="G136" s="101">
        <f> 1942 + 0.595*2031</f>
        <v>3150.445</v>
      </c>
      <c r="H136" s="222">
        <f t="shared" si="13"/>
        <v>0.01332759161</v>
      </c>
      <c r="I136" s="223"/>
      <c r="J136" s="224" t="s">
        <v>791</v>
      </c>
      <c r="K136" s="101">
        <f> -4551201 + 2281*2031</f>
        <v>81510</v>
      </c>
      <c r="L136" s="221" t="s">
        <v>792</v>
      </c>
      <c r="M136" s="100">
        <f> -4666202 + 2324*2031 + 9*3193</f>
        <v>82579</v>
      </c>
      <c r="N136" s="223"/>
      <c r="O136" s="157">
        <v>58760.0</v>
      </c>
      <c r="P136" s="56">
        <v>59159.0</v>
      </c>
      <c r="Q136" s="160">
        <v>0.006790333560245065</v>
      </c>
      <c r="R136" s="101">
        <f t="shared" si="14"/>
        <v>7671.776291</v>
      </c>
    </row>
    <row r="137">
      <c r="B137" s="120" t="s">
        <v>392</v>
      </c>
      <c r="C137" s="47"/>
      <c r="D137" s="20" t="s">
        <v>265</v>
      </c>
      <c r="E137" s="121">
        <v>12208.0</v>
      </c>
      <c r="F137" s="221" t="s">
        <v>793</v>
      </c>
      <c r="G137" s="101">
        <f> -434488 + 219.8*2031</f>
        <v>11925.8</v>
      </c>
      <c r="H137" s="222">
        <f t="shared" si="13"/>
        <v>0.02311598952</v>
      </c>
      <c r="I137" s="223"/>
      <c r="J137" s="224" t="s">
        <v>794</v>
      </c>
      <c r="K137" s="101">
        <f> -18969806 + 9454*2031</f>
        <v>231268</v>
      </c>
      <c r="L137" s="221" t="s">
        <v>795</v>
      </c>
      <c r="M137" s="100">
        <f> -17640973 + 8781*2031 + 3.15*12208</f>
        <v>231693.2</v>
      </c>
      <c r="N137" s="223"/>
      <c r="O137" s="157">
        <v>142200.0</v>
      </c>
      <c r="P137" s="56">
        <v>137674.55</v>
      </c>
      <c r="Q137" s="160">
        <v>0.03182454289732779</v>
      </c>
      <c r="R137" s="101">
        <f t="shared" si="14"/>
        <v>21524.82349</v>
      </c>
    </row>
    <row r="138">
      <c r="B138" s="120" t="s">
        <v>392</v>
      </c>
      <c r="C138" s="47"/>
      <c r="D138" s="60" t="s">
        <v>58</v>
      </c>
      <c r="E138" s="122">
        <v>3177.0</v>
      </c>
      <c r="F138" s="221" t="s">
        <v>796</v>
      </c>
      <c r="G138" s="101">
        <f> 26501 - 11.5*2031</f>
        <v>3144.5</v>
      </c>
      <c r="H138" s="222">
        <f t="shared" si="13"/>
        <v>0.01022977652</v>
      </c>
      <c r="I138" s="223"/>
      <c r="J138" s="224" t="s">
        <v>797</v>
      </c>
      <c r="K138" s="101">
        <f> -13261108 + 6614*2031</f>
        <v>171926</v>
      </c>
      <c r="L138" s="221" t="s">
        <v>798</v>
      </c>
      <c r="M138" s="100">
        <f>        -14098648 + 6978*2031 + 31*3177</f>
        <v>172157</v>
      </c>
      <c r="N138" s="223"/>
      <c r="O138" s="86">
        <v>93120.0</v>
      </c>
      <c r="P138" s="56">
        <v>102563.0</v>
      </c>
      <c r="Q138" s="160">
        <v>0.10140678694158076</v>
      </c>
      <c r="R138" s="101">
        <f t="shared" si="14"/>
        <v>15993.77555</v>
      </c>
    </row>
    <row r="139">
      <c r="B139" s="120" t="s">
        <v>392</v>
      </c>
      <c r="C139" s="47"/>
      <c r="D139" s="60" t="s">
        <v>276</v>
      </c>
      <c r="E139" s="121">
        <v>7452.0</v>
      </c>
      <c r="F139" s="221" t="s">
        <v>799</v>
      </c>
      <c r="G139" s="101">
        <f> -88850 + 47.45*2031</f>
        <v>7520.95</v>
      </c>
      <c r="H139" s="222">
        <f t="shared" si="13"/>
        <v>0.009252549651</v>
      </c>
      <c r="I139" s="223"/>
      <c r="J139" s="224" t="s">
        <v>800</v>
      </c>
      <c r="K139" s="101">
        <f> -13524799 + 6751*2031</f>
        <v>186482</v>
      </c>
      <c r="L139" s="221" t="s">
        <v>801</v>
      </c>
      <c r="M139" s="239">
        <f> -13298573 + 6629.3*2031 + 2.78*7452</f>
        <v>186251.86</v>
      </c>
      <c r="N139" s="223"/>
      <c r="O139" s="157">
        <v>120000.0</v>
      </c>
      <c r="P139" s="68">
        <v>119836.54000000074</v>
      </c>
      <c r="Q139" s="160">
        <v>0.0013621666666605355</v>
      </c>
      <c r="R139" s="101">
        <f t="shared" si="14"/>
        <v>17303.21999</v>
      </c>
    </row>
    <row r="140">
      <c r="B140" s="120" t="s">
        <v>392</v>
      </c>
      <c r="C140" s="47"/>
      <c r="D140" s="60" t="s">
        <v>354</v>
      </c>
      <c r="E140" s="121">
        <v>4399.0</v>
      </c>
      <c r="F140" s="221" t="s">
        <v>802</v>
      </c>
      <c r="G140" s="101">
        <f> -13606 + 8.878*2031</f>
        <v>4425.218</v>
      </c>
      <c r="H140" s="222">
        <f t="shared" si="13"/>
        <v>0.005959990907</v>
      </c>
      <c r="I140" s="223"/>
      <c r="J140" s="224" t="s">
        <v>803</v>
      </c>
      <c r="K140" s="101">
        <f> -2792502 + 1396*2031</f>
        <v>42774</v>
      </c>
      <c r="L140" s="221" t="s">
        <v>804</v>
      </c>
      <c r="M140" s="100">
        <f> -2503133 + 1214*2031 + 18.3*4399</f>
        <v>43002.7</v>
      </c>
      <c r="N140" s="223"/>
      <c r="O140" s="157">
        <v>30540.0</v>
      </c>
      <c r="P140" s="56">
        <v>30807.800000000003</v>
      </c>
      <c r="Q140" s="160">
        <v>0.008768827766863226</v>
      </c>
      <c r="R140" s="101">
        <f t="shared" si="14"/>
        <v>3995.048309</v>
      </c>
    </row>
    <row r="141">
      <c r="B141" s="120" t="s">
        <v>398</v>
      </c>
      <c r="C141" s="47"/>
      <c r="D141" s="60" t="s">
        <v>329</v>
      </c>
      <c r="E141" s="121">
        <v>4815.0</v>
      </c>
      <c r="F141" s="221" t="s">
        <v>805</v>
      </c>
      <c r="G141" s="101">
        <f> -12721 + 8.63*2031</f>
        <v>4806.53</v>
      </c>
      <c r="H141" s="222">
        <f t="shared" si="13"/>
        <v>0.001759086189</v>
      </c>
      <c r="I141" s="223"/>
      <c r="J141" s="224" t="s">
        <v>806</v>
      </c>
      <c r="K141" s="101">
        <f> -4817115 + 2404*2031</f>
        <v>65409</v>
      </c>
      <c r="L141" s="221" t="s">
        <v>807</v>
      </c>
      <c r="M141" s="100">
        <f> -4736922 + 2346.1*2031 + 7.791*4815</f>
        <v>65520.765</v>
      </c>
      <c r="N141" s="223"/>
      <c r="O141" s="157">
        <v>41600.0</v>
      </c>
      <c r="P141" s="56">
        <v>41942.89999999963</v>
      </c>
      <c r="Q141" s="160">
        <v>0.008242788461529576</v>
      </c>
      <c r="R141" s="101">
        <f t="shared" si="14"/>
        <v>6087.027592</v>
      </c>
    </row>
    <row r="142">
      <c r="B142" s="120" t="s">
        <v>392</v>
      </c>
      <c r="C142" s="50"/>
      <c r="D142" s="20" t="s">
        <v>278</v>
      </c>
      <c r="E142" s="122">
        <v>51373.0</v>
      </c>
      <c r="F142" s="221" t="s">
        <v>808</v>
      </c>
      <c r="G142" s="101">
        <f> -1088208 + 560.5*2031</f>
        <v>50167.5</v>
      </c>
      <c r="H142" s="222">
        <f t="shared" si="13"/>
        <v>0.0234656337</v>
      </c>
      <c r="I142" s="223"/>
      <c r="J142" s="224" t="s">
        <v>809</v>
      </c>
      <c r="K142" s="101">
        <f> -13167769 + 6564*2031</f>
        <v>163715</v>
      </c>
      <c r="L142" s="221" t="s">
        <v>810</v>
      </c>
      <c r="M142" s="100">
        <f> -14373779 + 7186*2031 - 1.127*51373</f>
        <v>163089.629</v>
      </c>
      <c r="N142" s="223"/>
      <c r="O142" s="86">
        <v>90000.0</v>
      </c>
      <c r="P142" s="56">
        <v>91382.901</v>
      </c>
      <c r="Q142" s="160">
        <v>0.015365566666666644</v>
      </c>
      <c r="R142" s="101">
        <f t="shared" si="14"/>
        <v>15151.39623</v>
      </c>
    </row>
    <row r="143">
      <c r="B143" s="133"/>
      <c r="C143" s="134"/>
      <c r="D143" s="91"/>
      <c r="E143" s="91"/>
      <c r="F143" s="91"/>
      <c r="G143" s="164"/>
      <c r="H143" s="164"/>
      <c r="I143" s="210"/>
      <c r="J143" s="240"/>
      <c r="K143" s="91"/>
      <c r="L143" s="91"/>
      <c r="M143" s="93"/>
      <c r="N143" s="223"/>
      <c r="O143" s="134"/>
      <c r="P143" s="93"/>
      <c r="Q143" s="134"/>
      <c r="R143" s="93"/>
    </row>
    <row r="144">
      <c r="B144" s="120" t="s">
        <v>392</v>
      </c>
      <c r="C144" s="69" t="s">
        <v>399</v>
      </c>
      <c r="D144" s="20" t="s">
        <v>363</v>
      </c>
      <c r="E144" s="121">
        <v>5432.0</v>
      </c>
      <c r="F144" s="221" t="s">
        <v>811</v>
      </c>
      <c r="G144" s="101">
        <f>-123525 + 63.41*2031</f>
        <v>5260.71</v>
      </c>
      <c r="H144" s="222">
        <f t="shared" ref="H144:H149" si="15">ABS(E144-G144)/E144</f>
        <v>0.03153350515</v>
      </c>
      <c r="I144" s="223"/>
      <c r="J144" s="224" t="s">
        <v>812</v>
      </c>
      <c r="K144" s="101">
        <f> -978175 + 492.9*2031</f>
        <v>22904.9</v>
      </c>
      <c r="L144" s="221" t="s">
        <v>813</v>
      </c>
      <c r="M144" s="100">
        <f>-986512 + 497 *2031 - 0.07*5432</f>
        <v>22514.76</v>
      </c>
      <c r="N144" s="223"/>
      <c r="O144" s="157">
        <v>20600.0</v>
      </c>
      <c r="P144" s="56">
        <v>17600.13</v>
      </c>
      <c r="Q144" s="160">
        <v>0.14562475728155336</v>
      </c>
      <c r="R144" s="101">
        <f t="shared" ref="R144:R149" si="16">M144/10.764</f>
        <v>2091.672241</v>
      </c>
    </row>
    <row r="145">
      <c r="B145" s="120" t="s">
        <v>392</v>
      </c>
      <c r="C145" s="137"/>
      <c r="D145" s="66" t="s">
        <v>246</v>
      </c>
      <c r="E145" s="121">
        <v>21065.0</v>
      </c>
      <c r="F145" s="221" t="s">
        <v>814</v>
      </c>
      <c r="G145" s="101">
        <f>- 359129 + 187.4*2031</f>
        <v>21480.4</v>
      </c>
      <c r="H145" s="222">
        <f t="shared" si="15"/>
        <v>0.01971991455</v>
      </c>
      <c r="I145" s="223"/>
      <c r="J145" s="224" t="s">
        <v>815</v>
      </c>
      <c r="K145" s="101">
        <f>- 6719904 + 3352 *2031</f>
        <v>88008</v>
      </c>
      <c r="L145" s="221" t="s">
        <v>816</v>
      </c>
      <c r="M145" s="228">
        <f>-4537200 + 2212 *2031 + 6.21*21065</f>
        <v>86185.65</v>
      </c>
      <c r="N145" s="223"/>
      <c r="O145" s="157">
        <v>60000.0</v>
      </c>
      <c r="P145" s="56">
        <v>63115.520000000004</v>
      </c>
      <c r="Q145" s="160">
        <v>0.0519253333333334</v>
      </c>
      <c r="R145" s="101">
        <f t="shared" si="16"/>
        <v>8006.842252</v>
      </c>
    </row>
    <row r="146">
      <c r="B146" s="120" t="s">
        <v>392</v>
      </c>
      <c r="C146" s="47"/>
      <c r="D146" s="66" t="s">
        <v>98</v>
      </c>
      <c r="E146" s="122">
        <v>7512.0</v>
      </c>
      <c r="F146" s="221" t="s">
        <v>817</v>
      </c>
      <c r="G146" s="101">
        <f>- 20672 + 13.87 *2031</f>
        <v>7497.97</v>
      </c>
      <c r="H146" s="222">
        <f t="shared" si="15"/>
        <v>0.001867678381</v>
      </c>
      <c r="I146" s="223"/>
      <c r="J146" s="224" t="s">
        <v>818</v>
      </c>
      <c r="K146" s="101">
        <f>- 5266504 + 2633 *2031</f>
        <v>81119</v>
      </c>
      <c r="L146" s="221" t="s">
        <v>819</v>
      </c>
      <c r="M146" s="100">
        <f> -5847089 + 3014*2031 - 25.7*7512</f>
        <v>81286.6</v>
      </c>
      <c r="N146" s="210"/>
      <c r="O146" s="86">
        <v>50000.0</v>
      </c>
      <c r="P146" s="56">
        <v>51326.5</v>
      </c>
      <c r="Q146" s="160">
        <v>0.02653</v>
      </c>
      <c r="R146" s="101">
        <f t="shared" si="16"/>
        <v>7551.709402</v>
      </c>
    </row>
    <row r="147">
      <c r="B147" s="120" t="s">
        <v>392</v>
      </c>
      <c r="C147" s="47"/>
      <c r="D147" s="20" t="s">
        <v>249</v>
      </c>
      <c r="E147" s="121">
        <v>3107.0</v>
      </c>
      <c r="F147" s="221" t="s">
        <v>820</v>
      </c>
      <c r="G147" s="101">
        <f> - 5621 + 4.294 *2031</f>
        <v>3100.114</v>
      </c>
      <c r="H147" s="222">
        <f t="shared" si="15"/>
        <v>0.002216285806</v>
      </c>
      <c r="I147" s="223"/>
      <c r="J147" s="224" t="s">
        <v>821</v>
      </c>
      <c r="K147" s="101">
        <f>- 4510276 + 2251 *2031</f>
        <v>61505</v>
      </c>
      <c r="L147" s="221" t="s">
        <v>822</v>
      </c>
      <c r="M147" s="100">
        <f>-4712659 + 2383.4*2031 - 21.52*3107</f>
        <v>61163.76</v>
      </c>
      <c r="N147" s="223"/>
      <c r="O147" s="157">
        <v>37300.0</v>
      </c>
      <c r="P147" s="56">
        <v>37544.96000000037</v>
      </c>
      <c r="Q147" s="160">
        <v>0.006567292225210997</v>
      </c>
      <c r="R147" s="101">
        <f t="shared" si="16"/>
        <v>5682.251951</v>
      </c>
    </row>
    <row r="148">
      <c r="B148" s="120" t="s">
        <v>392</v>
      </c>
      <c r="C148" s="47"/>
      <c r="D148" s="20" t="s">
        <v>287</v>
      </c>
      <c r="E148" s="121">
        <v>3927.0</v>
      </c>
      <c r="F148" s="221" t="s">
        <v>823</v>
      </c>
      <c r="G148" s="101">
        <f> - 10558 + 7.13 *2031</f>
        <v>3923.03</v>
      </c>
      <c r="H148" s="222">
        <f t="shared" si="15"/>
        <v>0.001010949834</v>
      </c>
      <c r="I148" s="223"/>
      <c r="J148" s="224" t="s">
        <v>824</v>
      </c>
      <c r="K148" s="101">
        <f>- 11350040 + 5654 *2031</f>
        <v>133234</v>
      </c>
      <c r="L148" s="221" t="s">
        <v>825</v>
      </c>
      <c r="M148" s="100">
        <f>-11665733 + 5869 *2031 - 31*3927</f>
        <v>132469</v>
      </c>
      <c r="N148" s="223"/>
      <c r="O148" s="157">
        <v>72700.0</v>
      </c>
      <c r="P148" s="56">
        <v>74678.0</v>
      </c>
      <c r="Q148" s="160">
        <v>0.027207702888583218</v>
      </c>
      <c r="R148" s="101">
        <f t="shared" si="16"/>
        <v>12306.67038</v>
      </c>
    </row>
    <row r="149">
      <c r="B149" s="120" t="s">
        <v>392</v>
      </c>
      <c r="C149" s="50"/>
      <c r="D149" s="20" t="s">
        <v>247</v>
      </c>
      <c r="E149" s="121">
        <v>9223.0</v>
      </c>
      <c r="F149" s="221" t="s">
        <v>826</v>
      </c>
      <c r="G149" s="101">
        <f>  - 88456 + 48.15 *2031</f>
        <v>9336.65</v>
      </c>
      <c r="H149" s="222">
        <f t="shared" si="15"/>
        <v>0.01232245473</v>
      </c>
      <c r="I149" s="223"/>
      <c r="J149" s="224" t="s">
        <v>827</v>
      </c>
      <c r="K149" s="101">
        <f>- 3413720 + 1710 *2031</f>
        <v>59290</v>
      </c>
      <c r="L149" s="221" t="s">
        <v>828</v>
      </c>
      <c r="M149" s="100">
        <f>-2844561 + 1403 *2031+ 5.92*9223</f>
        <v>59532.16</v>
      </c>
      <c r="N149" s="223"/>
      <c r="O149" s="157">
        <v>41000.0</v>
      </c>
      <c r="P149" s="56">
        <v>45342.32</v>
      </c>
      <c r="Q149" s="160">
        <v>0.10591024390243901</v>
      </c>
      <c r="R149" s="101">
        <f t="shared" si="16"/>
        <v>5530.672612</v>
      </c>
    </row>
    <row r="150">
      <c r="B150" s="133"/>
      <c r="C150" s="134"/>
      <c r="D150" s="91"/>
      <c r="E150" s="91"/>
      <c r="F150" s="91"/>
      <c r="G150" s="164"/>
      <c r="H150" s="164"/>
      <c r="I150" s="210"/>
      <c r="J150" s="240"/>
      <c r="K150" s="91"/>
      <c r="L150" s="91"/>
      <c r="M150" s="93"/>
      <c r="N150" s="223"/>
      <c r="O150" s="134"/>
      <c r="P150" s="93"/>
      <c r="Q150" s="134"/>
      <c r="R150" s="93"/>
    </row>
    <row r="151">
      <c r="B151" s="120" t="s">
        <v>392</v>
      </c>
      <c r="C151" s="69" t="s">
        <v>400</v>
      </c>
      <c r="D151" s="57" t="s">
        <v>291</v>
      </c>
      <c r="E151" s="122">
        <v>5363.0</v>
      </c>
      <c r="F151" s="221" t="s">
        <v>829</v>
      </c>
      <c r="G151" s="101">
        <f>- 58520 + 31.43 *2031</f>
        <v>5314.33</v>
      </c>
      <c r="H151" s="222">
        <f t="shared" ref="H151:H154" si="17">ABS(E151-G151)/E151</f>
        <v>0.009075144509</v>
      </c>
      <c r="I151" s="223"/>
      <c r="J151" s="224" t="s">
        <v>830</v>
      </c>
      <c r="K151" s="101">
        <f>- 9681558 + 4826 *2031</f>
        <v>120048</v>
      </c>
      <c r="L151" s="221" t="s">
        <v>831</v>
      </c>
      <c r="M151" s="100">
        <f>-10083461 + 5039 *2031 - 5.9  *5363</f>
        <v>119106.3</v>
      </c>
      <c r="N151" s="223"/>
      <c r="O151" s="86">
        <v>70000.0</v>
      </c>
      <c r="P151" s="56">
        <v>70032.0</v>
      </c>
      <c r="Q151" s="160">
        <v>4.5714285714285713E-4</v>
      </c>
      <c r="R151" s="101">
        <f t="shared" ref="R151:R154" si="18">M151/10.764</f>
        <v>11065.24526</v>
      </c>
    </row>
    <row r="152">
      <c r="B152" s="120" t="s">
        <v>392</v>
      </c>
      <c r="C152" s="137"/>
      <c r="D152" s="57" t="s">
        <v>237</v>
      </c>
      <c r="E152" s="121">
        <v>6893.0</v>
      </c>
      <c r="F152" s="221" t="s">
        <v>832</v>
      </c>
      <c r="G152" s="101">
        <f>- 24381 + 15.38 *2031</f>
        <v>6855.78</v>
      </c>
      <c r="H152" s="222">
        <f t="shared" si="17"/>
        <v>0.005399680836</v>
      </c>
      <c r="I152" s="223"/>
      <c r="J152" s="224" t="s">
        <v>833</v>
      </c>
      <c r="K152" s="101">
        <f>- 7155172 + 3561 *2031</f>
        <v>77219</v>
      </c>
      <c r="L152" s="221" t="s">
        <v>834</v>
      </c>
      <c r="M152" s="100">
        <f>-7449439 + 3751 *2031 - 13.39  *6893</f>
        <v>76544.73</v>
      </c>
      <c r="N152" s="223"/>
      <c r="O152" s="157">
        <v>40700.0</v>
      </c>
      <c r="P152" s="56">
        <v>40105.92999999999</v>
      </c>
      <c r="Q152" s="160">
        <v>0.014596314496314667</v>
      </c>
      <c r="R152" s="101">
        <f t="shared" si="18"/>
        <v>7111.17893</v>
      </c>
    </row>
    <row r="153">
      <c r="B153" s="120" t="s">
        <v>392</v>
      </c>
      <c r="C153" s="47"/>
      <c r="D153" s="57" t="s">
        <v>228</v>
      </c>
      <c r="E153" s="121">
        <v>6628.0</v>
      </c>
      <c r="F153" s="221" t="s">
        <v>835</v>
      </c>
      <c r="G153" s="101">
        <f>- 14335 + 10.24 *2031</f>
        <v>6462.44</v>
      </c>
      <c r="H153" s="222">
        <f t="shared" si="17"/>
        <v>0.02497887749</v>
      </c>
      <c r="I153" s="223"/>
      <c r="J153" s="224" t="s">
        <v>836</v>
      </c>
      <c r="K153" s="101">
        <f>- 12405915 + 6182 *2031</f>
        <v>149727</v>
      </c>
      <c r="L153" s="221" t="s">
        <v>837</v>
      </c>
      <c r="M153" s="100">
        <f>-12500770 + 6258 *2031- 9.4  *6628</f>
        <v>146924.8</v>
      </c>
      <c r="N153" s="210"/>
      <c r="O153" s="157">
        <v>81400.0</v>
      </c>
      <c r="P153" s="56">
        <v>89214.0</v>
      </c>
      <c r="Q153" s="160">
        <v>0.095995085995086</v>
      </c>
      <c r="R153" s="101">
        <f t="shared" si="18"/>
        <v>13649.64697</v>
      </c>
    </row>
    <row r="154">
      <c r="B154" s="120" t="s">
        <v>392</v>
      </c>
      <c r="C154" s="50"/>
      <c r="D154" s="57" t="s">
        <v>231</v>
      </c>
      <c r="E154" s="121">
        <v>6682.0</v>
      </c>
      <c r="F154" s="221" t="s">
        <v>838</v>
      </c>
      <c r="G154" s="101">
        <f>- 11814 + 9.11 *2031</f>
        <v>6688.41</v>
      </c>
      <c r="H154" s="222">
        <f t="shared" si="17"/>
        <v>0.0009592936247</v>
      </c>
      <c r="I154" s="223"/>
      <c r="J154" s="224" t="s">
        <v>839</v>
      </c>
      <c r="K154" s="101">
        <f>- 5011423 + 2506 *2031</f>
        <v>78263</v>
      </c>
      <c r="L154" s="221" t="s">
        <v>840</v>
      </c>
      <c r="M154" s="100">
        <f>-5388329 + 2821*2031 - 39.2  *6682</f>
        <v>79187.6</v>
      </c>
      <c r="N154" s="223"/>
      <c r="O154" s="157">
        <v>49400.0</v>
      </c>
      <c r="P154" s="56">
        <v>50977.59999999998</v>
      </c>
      <c r="Q154" s="160">
        <v>0.031935222672064306</v>
      </c>
      <c r="R154" s="101">
        <f t="shared" si="18"/>
        <v>7356.707544</v>
      </c>
    </row>
    <row r="155">
      <c r="B155" s="133"/>
      <c r="C155" s="134"/>
      <c r="D155" s="91"/>
      <c r="E155" s="91"/>
      <c r="F155" s="91"/>
      <c r="G155" s="164"/>
      <c r="H155" s="164"/>
      <c r="I155" s="210"/>
      <c r="J155" s="240"/>
      <c r="K155" s="91"/>
      <c r="L155" s="91"/>
      <c r="M155" s="93"/>
      <c r="N155" s="223"/>
      <c r="O155" s="134"/>
      <c r="P155" s="93"/>
      <c r="Q155" s="134"/>
      <c r="R155" s="93"/>
    </row>
    <row r="156">
      <c r="B156" s="120" t="s">
        <v>398</v>
      </c>
      <c r="C156" s="69" t="s">
        <v>23</v>
      </c>
      <c r="D156" s="60" t="s">
        <v>215</v>
      </c>
      <c r="E156" s="121">
        <v>4729.0</v>
      </c>
      <c r="F156" s="221" t="s">
        <v>841</v>
      </c>
      <c r="G156" s="101">
        <f>- 5161 + 4.79 *2031</f>
        <v>4567.49</v>
      </c>
      <c r="H156" s="222">
        <f t="shared" ref="H156:H174" si="19">ABS(E156-G156)/E156</f>
        <v>0.03415309791</v>
      </c>
      <c r="I156" s="223"/>
      <c r="J156" s="224" t="s">
        <v>842</v>
      </c>
      <c r="K156" s="101">
        <f>- 4111134 + 2050 *2031</f>
        <v>52416</v>
      </c>
      <c r="L156" s="221" t="s">
        <v>843</v>
      </c>
      <c r="M156" s="100">
        <f>-4120939 + 2057.4 *2031- 1.163  *4729</f>
        <v>52140.573</v>
      </c>
      <c r="N156" s="223"/>
      <c r="O156" s="157">
        <v>31560.0</v>
      </c>
      <c r="P156" s="56">
        <v>31721.25200000037</v>
      </c>
      <c r="Q156" s="160">
        <v>0.00510937896072153</v>
      </c>
      <c r="R156" s="101">
        <f t="shared" ref="R156:R174" si="20">M156/10.764</f>
        <v>4843.977425</v>
      </c>
    </row>
    <row r="157">
      <c r="B157" s="120" t="s">
        <v>398</v>
      </c>
      <c r="C157" s="137"/>
      <c r="D157" s="20" t="s">
        <v>119</v>
      </c>
      <c r="E157" s="121">
        <v>25327.0</v>
      </c>
      <c r="F157" s="221" t="s">
        <v>844</v>
      </c>
      <c r="G157" s="101">
        <f>- 607374 + 311.6 *2031</f>
        <v>25485.6</v>
      </c>
      <c r="H157" s="222">
        <f t="shared" si="19"/>
        <v>0.006262091839</v>
      </c>
      <c r="I157" s="223"/>
      <c r="J157" s="224" t="s">
        <v>845</v>
      </c>
      <c r="K157" s="101">
        <f> - 4427335 + 2209 *2031</f>
        <v>59144</v>
      </c>
      <c r="L157" s="221" t="s">
        <v>846</v>
      </c>
      <c r="M157" s="100">
        <f> -4910774 + 2459 *2031- 0.97 *25327</f>
        <v>58887.81</v>
      </c>
      <c r="N157" s="223"/>
      <c r="O157" s="157">
        <v>37000.0</v>
      </c>
      <c r="P157" s="56">
        <v>36831.45</v>
      </c>
      <c r="Q157" s="160">
        <v>0.004555405405405484</v>
      </c>
      <c r="R157" s="101">
        <f t="shared" si="20"/>
        <v>5470.811037</v>
      </c>
    </row>
    <row r="158">
      <c r="B158" s="120" t="s">
        <v>398</v>
      </c>
      <c r="C158" s="47"/>
      <c r="D158" s="20" t="s">
        <v>353</v>
      </c>
      <c r="E158" s="122">
        <v>73126.0</v>
      </c>
      <c r="F158" s="221" t="s">
        <v>847</v>
      </c>
      <c r="G158" s="101">
        <f>- 3922775 + 1968 *2031</f>
        <v>74233</v>
      </c>
      <c r="H158" s="222">
        <f t="shared" si="19"/>
        <v>0.01513825452</v>
      </c>
      <c r="I158" s="223"/>
      <c r="J158" s="224" t="s">
        <v>848</v>
      </c>
      <c r="K158" s="101">
        <f>- 4358425 + 2173 *2031</f>
        <v>54938</v>
      </c>
      <c r="L158" s="221" t="s">
        <v>849</v>
      </c>
      <c r="M158" s="100">
        <f>-7597431 + 3797 *2031- 0.808  *73126</f>
        <v>55190.192</v>
      </c>
      <c r="N158" s="210"/>
      <c r="O158" s="86">
        <v>30000.0</v>
      </c>
      <c r="P158" s="56">
        <v>28857.816</v>
      </c>
      <c r="Q158" s="160">
        <v>0.03807280000000004</v>
      </c>
      <c r="R158" s="101">
        <f t="shared" si="20"/>
        <v>5127.293943</v>
      </c>
    </row>
    <row r="159">
      <c r="B159" s="120" t="s">
        <v>398</v>
      </c>
      <c r="C159" s="47"/>
      <c r="D159" s="20" t="s">
        <v>116</v>
      </c>
      <c r="E159" s="122">
        <v>14574.0</v>
      </c>
      <c r="F159" s="221" t="s">
        <v>850</v>
      </c>
      <c r="G159" s="101">
        <f>- 151104 + 81.43 *2031</f>
        <v>14280.33</v>
      </c>
      <c r="H159" s="222">
        <f t="shared" si="19"/>
        <v>0.0201502676</v>
      </c>
      <c r="I159" s="223"/>
      <c r="J159" s="224" t="s">
        <v>851</v>
      </c>
      <c r="K159" s="101">
        <f>- 7059966 + 3516 *2031</f>
        <v>81030</v>
      </c>
      <c r="L159" s="221" t="s">
        <v>852</v>
      </c>
      <c r="M159" s="100">
        <f> -7364447 + 3684 *2031- 2.62  *14574</f>
        <v>79573.12</v>
      </c>
      <c r="N159" s="223"/>
      <c r="O159" s="86">
        <v>44300.0</v>
      </c>
      <c r="P159" s="56">
        <v>45465.78</v>
      </c>
      <c r="Q159" s="160">
        <v>0.02631557562076747</v>
      </c>
      <c r="R159" s="101">
        <f t="shared" si="20"/>
        <v>7392.523226</v>
      </c>
    </row>
    <row r="160">
      <c r="B160" s="120" t="s">
        <v>398</v>
      </c>
      <c r="C160" s="47"/>
      <c r="D160" s="20" t="s">
        <v>343</v>
      </c>
      <c r="E160" s="122">
        <v>8269.0</v>
      </c>
      <c r="F160" s="221" t="s">
        <v>853</v>
      </c>
      <c r="G160" s="101">
        <f>- 66248 + 36.71 *2031</f>
        <v>8310.01</v>
      </c>
      <c r="H160" s="222">
        <f t="shared" si="19"/>
        <v>0.004959487242</v>
      </c>
      <c r="I160" s="223"/>
      <c r="J160" s="224" t="s">
        <v>854</v>
      </c>
      <c r="K160" s="101">
        <f>- 3734883 + 1864 *2031</f>
        <v>50901</v>
      </c>
      <c r="L160" s="221" t="s">
        <v>855</v>
      </c>
      <c r="M160" s="100">
        <f> -3589746 + 1780 *2031+ 3.13  *8269</f>
        <v>51315.97</v>
      </c>
      <c r="N160" s="223"/>
      <c r="O160" s="86">
        <v>29000.0</v>
      </c>
      <c r="P160" s="56">
        <v>33115.33</v>
      </c>
      <c r="Q160" s="160">
        <v>0.14190793103448282</v>
      </c>
      <c r="R160" s="101">
        <f t="shared" si="20"/>
        <v>4767.369937</v>
      </c>
    </row>
    <row r="161">
      <c r="B161" s="120" t="s">
        <v>398</v>
      </c>
      <c r="C161" s="47"/>
      <c r="D161" s="20" t="s">
        <v>210</v>
      </c>
      <c r="E161" s="122">
        <v>9196.0</v>
      </c>
      <c r="F161" s="221" t="s">
        <v>856</v>
      </c>
      <c r="G161" s="101">
        <f>- 56648 + 32.4 *2031</f>
        <v>9156.4</v>
      </c>
      <c r="H161" s="222">
        <f t="shared" si="19"/>
        <v>0.004306220096</v>
      </c>
      <c r="I161" s="223"/>
      <c r="J161" s="224" t="s">
        <v>857</v>
      </c>
      <c r="K161" s="101">
        <f>- 10724078 + 5352 *2031</f>
        <v>145834</v>
      </c>
      <c r="L161" s="221" t="s">
        <v>858</v>
      </c>
      <c r="M161" s="100">
        <f> -11798977 + 5961 *2031- 17.8 *9196</f>
        <v>144125.2</v>
      </c>
      <c r="N161" s="223"/>
      <c r="O161" s="86">
        <v>85000.0</v>
      </c>
      <c r="P161" s="56">
        <v>88075.19999999998</v>
      </c>
      <c r="Q161" s="160">
        <v>0.03617882352941156</v>
      </c>
      <c r="R161" s="101">
        <f t="shared" si="20"/>
        <v>13389.55779</v>
      </c>
    </row>
    <row r="162">
      <c r="B162" s="120" t="s">
        <v>398</v>
      </c>
      <c r="C162" s="47"/>
      <c r="D162" s="20" t="s">
        <v>216</v>
      </c>
      <c r="E162" s="121">
        <v>8071.0</v>
      </c>
      <c r="F162" s="221" t="s">
        <v>859</v>
      </c>
      <c r="G162" s="101">
        <f>- 55877 + 31.47 *2031</f>
        <v>8038.57</v>
      </c>
      <c r="H162" s="222">
        <f t="shared" si="19"/>
        <v>0.004018089456</v>
      </c>
      <c r="I162" s="223"/>
      <c r="J162" s="224" t="s">
        <v>860</v>
      </c>
      <c r="K162" s="101">
        <f>- 12199548 + 6081 *2031</f>
        <v>150963</v>
      </c>
      <c r="L162" s="221" t="s">
        <v>861</v>
      </c>
      <c r="M162" s="100">
        <f> -10286146 + 5000*2031 + 35.17 *8071</f>
        <v>152711.07</v>
      </c>
      <c r="N162" s="223"/>
      <c r="O162" s="157">
        <v>100000.0</v>
      </c>
      <c r="P162" s="56">
        <v>98525.84000000003</v>
      </c>
      <c r="Q162" s="160">
        <v>0.014741599999999744</v>
      </c>
      <c r="R162" s="101">
        <f t="shared" si="20"/>
        <v>14187.20457</v>
      </c>
    </row>
    <row r="163">
      <c r="B163" s="120" t="s">
        <v>398</v>
      </c>
      <c r="C163" s="47"/>
      <c r="D163" s="20" t="s">
        <v>312</v>
      </c>
      <c r="E163" s="121">
        <v>3009.0</v>
      </c>
      <c r="F163" s="221" t="s">
        <v>862</v>
      </c>
      <c r="G163" s="101">
        <f> - 723 + 1.835 *2031</f>
        <v>3003.885</v>
      </c>
      <c r="H163" s="222">
        <f t="shared" si="19"/>
        <v>0.001699900299</v>
      </c>
      <c r="I163" s="223"/>
      <c r="J163" s="224" t="s">
        <v>863</v>
      </c>
      <c r="K163" s="101">
        <f> - 5903546 + 2947 *2031</f>
        <v>81811</v>
      </c>
      <c r="L163" s="221" t="s">
        <v>864</v>
      </c>
      <c r="M163" s="100">
        <f>-5859286 + 2984 *2031- 39.5 *3009</f>
        <v>82362.5</v>
      </c>
      <c r="N163" s="223"/>
      <c r="O163" s="157">
        <v>51000.0</v>
      </c>
      <c r="P163" s="56">
        <v>52562.0</v>
      </c>
      <c r="Q163" s="160">
        <v>0.030627450980392157</v>
      </c>
      <c r="R163" s="101">
        <f t="shared" si="20"/>
        <v>7651.662951</v>
      </c>
    </row>
    <row r="164">
      <c r="B164" s="120" t="s">
        <v>398</v>
      </c>
      <c r="C164" s="47"/>
      <c r="D164" s="20" t="s">
        <v>117</v>
      </c>
      <c r="E164" s="121">
        <v>9516.0</v>
      </c>
      <c r="F164" s="221" t="s">
        <v>865</v>
      </c>
      <c r="G164" s="101">
        <f>- 49264 + 28.94 *2031</f>
        <v>9513.14</v>
      </c>
      <c r="H164" s="222">
        <f t="shared" si="19"/>
        <v>0.0003005464481</v>
      </c>
      <c r="I164" s="223"/>
      <c r="J164" s="224" t="s">
        <v>866</v>
      </c>
      <c r="K164" s="101">
        <f>- 4069264 + 2028 *2031</f>
        <v>49604</v>
      </c>
      <c r="L164" s="221" t="s">
        <v>867</v>
      </c>
      <c r="M164" s="100">
        <f>-4161620 + 2073.9 *2031- 0.106  *9516</f>
        <v>49462.204</v>
      </c>
      <c r="N164" s="223"/>
      <c r="O164" s="157">
        <v>28790.0</v>
      </c>
      <c r="P164" s="56">
        <v>28730.094000000372</v>
      </c>
      <c r="Q164" s="160">
        <v>0.002080791941633483</v>
      </c>
      <c r="R164" s="101">
        <f t="shared" si="20"/>
        <v>4595.150873</v>
      </c>
    </row>
    <row r="165">
      <c r="B165" s="120" t="s">
        <v>398</v>
      </c>
      <c r="C165" s="47"/>
      <c r="D165" s="20" t="s">
        <v>122</v>
      </c>
      <c r="E165" s="121">
        <v>27871.0</v>
      </c>
      <c r="F165" s="221" t="s">
        <v>868</v>
      </c>
      <c r="G165" s="101">
        <f>- 158704 + 91.6 *2031</f>
        <v>27335.6</v>
      </c>
      <c r="H165" s="222">
        <f t="shared" si="19"/>
        <v>0.01920993147</v>
      </c>
      <c r="I165" s="223"/>
      <c r="J165" s="224" t="s">
        <v>869</v>
      </c>
      <c r="K165" s="101">
        <f>- 15888923 + 7920 *2031</f>
        <v>196597</v>
      </c>
      <c r="L165" s="221" t="s">
        <v>870</v>
      </c>
      <c r="M165" s="100">
        <f>-15698062 + 7815*2031 + 0.82  *27871</f>
        <v>197057.22</v>
      </c>
      <c r="N165" s="223"/>
      <c r="O165" s="157">
        <v>120000.0</v>
      </c>
      <c r="P165" s="56">
        <v>117272.95999999999</v>
      </c>
      <c r="Q165" s="160">
        <v>0.022725333333333403</v>
      </c>
      <c r="R165" s="101">
        <f t="shared" si="20"/>
        <v>18307.06243</v>
      </c>
    </row>
    <row r="166">
      <c r="B166" s="120" t="s">
        <v>398</v>
      </c>
      <c r="C166" s="47"/>
      <c r="D166" s="20" t="s">
        <v>218</v>
      </c>
      <c r="E166" s="121">
        <v>6220.0</v>
      </c>
      <c r="F166" s="221" t="s">
        <v>871</v>
      </c>
      <c r="G166" s="101">
        <f>- 89627 + 47.11 *2031</f>
        <v>6053.41</v>
      </c>
      <c r="H166" s="222">
        <f t="shared" si="19"/>
        <v>0.0267829582</v>
      </c>
      <c r="I166" s="223"/>
      <c r="J166" s="224" t="s">
        <v>872</v>
      </c>
      <c r="K166" s="101">
        <f>- 6388174 + 3193 *2031</f>
        <v>96809</v>
      </c>
      <c r="L166" s="221" t="s">
        <v>873</v>
      </c>
      <c r="M166" s="100">
        <f>-5691225 + 2824 *2031+ 8.7 *6220</f>
        <v>98433</v>
      </c>
      <c r="N166" s="223"/>
      <c r="O166" s="157">
        <v>70000.0</v>
      </c>
      <c r="P166" s="56">
        <v>63998.6</v>
      </c>
      <c r="Q166" s="160">
        <v>0.08573428571428574</v>
      </c>
      <c r="R166" s="101">
        <f t="shared" si="20"/>
        <v>9144.648829</v>
      </c>
    </row>
    <row r="167">
      <c r="B167" s="120" t="s">
        <v>398</v>
      </c>
      <c r="C167" s="47"/>
      <c r="D167" s="20" t="s">
        <v>320</v>
      </c>
      <c r="E167" s="121">
        <v>4514.0</v>
      </c>
      <c r="F167" s="221" t="s">
        <v>874</v>
      </c>
      <c r="G167" s="101">
        <f>- 5695 + 5.029 *2031</f>
        <v>4518.899</v>
      </c>
      <c r="H167" s="222">
        <f t="shared" si="19"/>
        <v>0.001085290208</v>
      </c>
      <c r="I167" s="223"/>
      <c r="J167" s="224" t="s">
        <v>875</v>
      </c>
      <c r="K167" s="101">
        <f> - 5864114 + 2924 *2031</f>
        <v>74530</v>
      </c>
      <c r="L167" s="221" t="s">
        <v>876</v>
      </c>
      <c r="M167" s="100">
        <f>-6836780 + 3811 *2031- 183.4 *4514</f>
        <v>75493.4</v>
      </c>
      <c r="N167" s="223"/>
      <c r="O167" s="157">
        <v>40600.0</v>
      </c>
      <c r="P167" s="56">
        <v>38667.19999999995</v>
      </c>
      <c r="Q167" s="160">
        <v>0.04760591133005041</v>
      </c>
      <c r="R167" s="101">
        <f t="shared" si="20"/>
        <v>7013.50799</v>
      </c>
    </row>
    <row r="168">
      <c r="B168" s="120" t="s">
        <v>398</v>
      </c>
      <c r="C168" s="47"/>
      <c r="D168" s="60" t="s">
        <v>253</v>
      </c>
      <c r="E168" s="121">
        <v>9040.0</v>
      </c>
      <c r="F168" s="221" t="s">
        <v>877</v>
      </c>
      <c r="G168" s="101">
        <f>- 240344 + 122.6 *2031</f>
        <v>8656.6</v>
      </c>
      <c r="H168" s="222">
        <f t="shared" si="19"/>
        <v>0.04241150442</v>
      </c>
      <c r="I168" s="223"/>
      <c r="J168" s="224" t="s">
        <v>878</v>
      </c>
      <c r="K168" s="101">
        <f> - 4591906 + 2305 *2031</f>
        <v>89549</v>
      </c>
      <c r="L168" s="221" t="s">
        <v>879</v>
      </c>
      <c r="M168" s="100">
        <f>-3478650 + 1736 *2031+ 4.98 *9040</f>
        <v>92185.2</v>
      </c>
      <c r="N168" s="223"/>
      <c r="O168" s="157">
        <v>69520.0</v>
      </c>
      <c r="P168" s="56">
        <v>64551.46000000001</v>
      </c>
      <c r="Q168" s="160">
        <v>0.0714692174913693</v>
      </c>
      <c r="R168" s="101">
        <f t="shared" si="20"/>
        <v>8564.214047</v>
      </c>
    </row>
    <row r="169">
      <c r="B169" s="120" t="s">
        <v>398</v>
      </c>
      <c r="C169" s="47"/>
      <c r="D169" s="20" t="s">
        <v>217</v>
      </c>
      <c r="E169" s="121">
        <v>14770.0</v>
      </c>
      <c r="F169" s="221" t="s">
        <v>880</v>
      </c>
      <c r="G169" s="101">
        <f>- 244547 + 127.5 *2031</f>
        <v>14405.5</v>
      </c>
      <c r="H169" s="222">
        <f t="shared" si="19"/>
        <v>0.02467840217</v>
      </c>
      <c r="I169" s="223"/>
      <c r="J169" s="224" t="s">
        <v>881</v>
      </c>
      <c r="K169" s="101">
        <f>- 14956945 + 7463 *2031</f>
        <v>200408</v>
      </c>
      <c r="L169" s="221" t="s">
        <v>882</v>
      </c>
      <c r="M169" s="100">
        <f>-15595173 + 7798 *2031- 2.97 *14770</f>
        <v>198698.1</v>
      </c>
      <c r="N169" s="223"/>
      <c r="O169" s="157">
        <v>120000.0</v>
      </c>
      <c r="P169" s="56">
        <v>125072.12</v>
      </c>
      <c r="Q169" s="160">
        <v>0.04226766666666663</v>
      </c>
      <c r="R169" s="101">
        <f t="shared" si="20"/>
        <v>18459.5039</v>
      </c>
    </row>
    <row r="170">
      <c r="B170" s="120" t="s">
        <v>398</v>
      </c>
      <c r="C170" s="47"/>
      <c r="D170" s="60" t="s">
        <v>211</v>
      </c>
      <c r="E170" s="121">
        <v>5441.0</v>
      </c>
      <c r="F170" s="221" t="s">
        <v>883</v>
      </c>
      <c r="G170" s="101">
        <f>- 92572 + 48.28 *2031</f>
        <v>5484.68</v>
      </c>
      <c r="H170" s="222">
        <f t="shared" si="19"/>
        <v>0.008027936041</v>
      </c>
      <c r="I170" s="223"/>
      <c r="J170" s="224" t="s">
        <v>884</v>
      </c>
      <c r="K170" s="101">
        <f>- 8716187 + 4351 *2031</f>
        <v>120694</v>
      </c>
      <c r="L170" s="221" t="s">
        <v>885</v>
      </c>
      <c r="M170" s="100">
        <f>-9357541 + 4684 *2031- 6.42 *5441</f>
        <v>120731.78</v>
      </c>
      <c r="N170" s="223"/>
      <c r="O170" s="157">
        <v>73000.0</v>
      </c>
      <c r="P170" s="56">
        <v>74033.01999999999</v>
      </c>
      <c r="Q170" s="160">
        <v>0.014150958904109445</v>
      </c>
      <c r="R170" s="101">
        <f t="shared" si="20"/>
        <v>11216.25604</v>
      </c>
    </row>
    <row r="171">
      <c r="B171" s="120" t="s">
        <v>398</v>
      </c>
      <c r="C171" s="47"/>
      <c r="D171" s="20" t="s">
        <v>213</v>
      </c>
      <c r="E171" s="121">
        <v>5157.0</v>
      </c>
      <c r="F171" s="221" t="s">
        <v>886</v>
      </c>
      <c r="G171" s="101">
        <f>- 7677 + 6.309 *2031</f>
        <v>5136.579</v>
      </c>
      <c r="H171" s="222">
        <f t="shared" si="19"/>
        <v>0.003959860384</v>
      </c>
      <c r="I171" s="223"/>
      <c r="J171" s="224" t="s">
        <v>887</v>
      </c>
      <c r="K171" s="101">
        <f>- 25046099 + 12463 *2031</f>
        <v>266254</v>
      </c>
      <c r="L171" s="221" t="s">
        <v>888</v>
      </c>
      <c r="M171" s="100">
        <f>-23222524 + 10932 *2031+ 250.2 *5157</f>
        <v>270649.4</v>
      </c>
      <c r="N171" s="223"/>
      <c r="O171" s="157">
        <v>173400.0</v>
      </c>
      <c r="P171" s="56">
        <v>156075.19999999995</v>
      </c>
      <c r="Q171" s="160">
        <v>0.09991234140715137</v>
      </c>
      <c r="R171" s="101">
        <f t="shared" si="20"/>
        <v>25143.94277</v>
      </c>
    </row>
    <row r="172">
      <c r="B172" s="120" t="s">
        <v>398</v>
      </c>
      <c r="C172" s="47"/>
      <c r="D172" s="20" t="s">
        <v>123</v>
      </c>
      <c r="E172" s="121">
        <v>15042.0</v>
      </c>
      <c r="F172" s="221" t="s">
        <v>889</v>
      </c>
      <c r="G172" s="101">
        <f>- 170511 + 91.29 *2031</f>
        <v>14898.99</v>
      </c>
      <c r="H172" s="222">
        <f t="shared" si="19"/>
        <v>0.009507379338</v>
      </c>
      <c r="I172" s="223"/>
      <c r="J172" s="224" t="s">
        <v>890</v>
      </c>
      <c r="K172" s="101">
        <f>- 6204858 + 3089 *2031</f>
        <v>68901</v>
      </c>
      <c r="L172" s="221" t="s">
        <v>891</v>
      </c>
      <c r="M172" s="100">
        <f>-6076909 + 3024.3 *2031+ 0.239 *15042</f>
        <v>69039.338</v>
      </c>
      <c r="N172" s="223"/>
      <c r="O172" s="157">
        <v>39100.0</v>
      </c>
      <c r="P172" s="56">
        <v>38609.679000000746</v>
      </c>
      <c r="Q172" s="160">
        <v>0.012540179028113916</v>
      </c>
      <c r="R172" s="101">
        <f t="shared" si="20"/>
        <v>6413.911</v>
      </c>
    </row>
    <row r="173">
      <c r="B173" s="120" t="s">
        <v>398</v>
      </c>
      <c r="C173" s="47"/>
      <c r="D173" s="20" t="s">
        <v>125</v>
      </c>
      <c r="E173" s="121">
        <v>42119.0</v>
      </c>
      <c r="F173" s="221" t="s">
        <v>892</v>
      </c>
      <c r="G173" s="101">
        <f>- 1441341 + 731.1 *2031</f>
        <v>43523.1</v>
      </c>
      <c r="H173" s="222">
        <f t="shared" si="19"/>
        <v>0.03333649897</v>
      </c>
      <c r="I173" s="223"/>
      <c r="J173" s="224" t="s">
        <v>893</v>
      </c>
      <c r="K173" s="101">
        <f>- 4700472 + 2341 *2031</f>
        <v>54099</v>
      </c>
      <c r="L173" s="221" t="s">
        <v>894</v>
      </c>
      <c r="M173" s="100">
        <f>-4848148 + 2415.8 *2031- 0.0985*42119</f>
        <v>54193.0785</v>
      </c>
      <c r="N173" s="223"/>
      <c r="O173" s="157">
        <v>31250.0</v>
      </c>
      <c r="P173" s="56">
        <v>30441.785000000746</v>
      </c>
      <c r="Q173" s="160">
        <v>0.02586287999997614</v>
      </c>
      <c r="R173" s="101">
        <f t="shared" si="20"/>
        <v>5034.659838</v>
      </c>
    </row>
    <row r="174">
      <c r="B174" s="120" t="s">
        <v>398</v>
      </c>
      <c r="C174" s="50"/>
      <c r="D174" s="20" t="s">
        <v>294</v>
      </c>
      <c r="E174" s="121">
        <v>7136.0</v>
      </c>
      <c r="F174" s="221" t="s">
        <v>895</v>
      </c>
      <c r="G174" s="101">
        <f>- 84529 + 45.13 *2031</f>
        <v>7130.03</v>
      </c>
      <c r="H174" s="222">
        <f t="shared" si="19"/>
        <v>0.000836603139</v>
      </c>
      <c r="I174" s="223"/>
      <c r="J174" s="224" t="s">
        <v>896</v>
      </c>
      <c r="K174" s="101">
        <f>- 6999140 + 3496*2031</f>
        <v>101236</v>
      </c>
      <c r="L174" s="221" t="s">
        <v>897</v>
      </c>
      <c r="M174" s="100">
        <f>-7209243 + 3604 *2031- 1.31 *7136</f>
        <v>101132.84</v>
      </c>
      <c r="N174" s="223"/>
      <c r="O174" s="157">
        <v>63500.0</v>
      </c>
      <c r="P174" s="56">
        <v>65198.95</v>
      </c>
      <c r="Q174" s="160">
        <v>0.026755118110236176</v>
      </c>
      <c r="R174" s="101">
        <f t="shared" si="20"/>
        <v>9395.470085</v>
      </c>
    </row>
    <row r="175">
      <c r="B175" s="133"/>
      <c r="C175" s="134"/>
      <c r="D175" s="91"/>
      <c r="E175" s="91"/>
      <c r="F175" s="91"/>
      <c r="G175" s="164"/>
      <c r="H175" s="164"/>
      <c r="I175" s="210"/>
      <c r="J175" s="240"/>
      <c r="K175" s="91"/>
      <c r="L175" s="133"/>
      <c r="M175" s="93"/>
      <c r="N175" s="223"/>
      <c r="O175" s="134"/>
      <c r="P175" s="93"/>
      <c r="Q175" s="134"/>
      <c r="R175" s="93"/>
    </row>
    <row r="176">
      <c r="B176" s="120" t="s">
        <v>398</v>
      </c>
      <c r="C176" s="69" t="s">
        <v>401</v>
      </c>
      <c r="D176" s="57" t="s">
        <v>104</v>
      </c>
      <c r="E176" s="122">
        <v>3773.0</v>
      </c>
      <c r="F176" s="221" t="s">
        <v>898</v>
      </c>
      <c r="G176" s="101">
        <f>- 95168 + 48.64 *2031</f>
        <v>3619.84</v>
      </c>
      <c r="H176" s="222">
        <f t="shared" ref="H176:H177" si="21">ABS(E176-G176)/E176</f>
        <v>0.04059369202</v>
      </c>
      <c r="I176" s="223"/>
      <c r="J176" s="224" t="s">
        <v>899</v>
      </c>
      <c r="K176" s="101">
        <f>- 5741538 + 2872 *2031</f>
        <v>91494</v>
      </c>
      <c r="L176" s="221" t="s">
        <v>900</v>
      </c>
      <c r="M176" s="100">
        <f> -6842607 + 3434 *2031- 11.4*3773</f>
        <v>88834.8</v>
      </c>
      <c r="N176" s="223"/>
      <c r="O176" s="86">
        <v>59000.0</v>
      </c>
      <c r="P176" s="56">
        <v>62600.2</v>
      </c>
      <c r="Q176" s="160">
        <v>0.0610203389830508</v>
      </c>
      <c r="R176" s="101">
        <f t="shared" ref="R176:R177" si="22">M176/10.764</f>
        <v>8252.954292</v>
      </c>
    </row>
    <row r="177">
      <c r="B177" s="120" t="s">
        <v>398</v>
      </c>
      <c r="C177" s="139"/>
      <c r="D177" s="57" t="s">
        <v>232</v>
      </c>
      <c r="E177" s="122">
        <v>3551.0</v>
      </c>
      <c r="F177" s="221" t="s">
        <v>901</v>
      </c>
      <c r="G177" s="101">
        <f>- 4065 + 3.744 *2031</f>
        <v>3539.064</v>
      </c>
      <c r="H177" s="222">
        <f t="shared" si="21"/>
        <v>0.003361306674</v>
      </c>
      <c r="I177" s="223"/>
      <c r="J177" s="224" t="s">
        <v>902</v>
      </c>
      <c r="K177" s="101">
        <f>- 3805833 + 1904 *2031</f>
        <v>61191</v>
      </c>
      <c r="L177" s="221" t="s">
        <v>903</v>
      </c>
      <c r="M177" s="100">
        <f>-3914825 + 2030 *2031- 41.2 *3551</f>
        <v>61803.8</v>
      </c>
      <c r="N177" s="223"/>
      <c r="O177" s="157">
        <v>40700.0</v>
      </c>
      <c r="P177" s="56">
        <v>42698.59999999998</v>
      </c>
      <c r="Q177" s="160">
        <v>0.04910565110565053</v>
      </c>
      <c r="R177" s="101">
        <f t="shared" si="22"/>
        <v>5741.713118</v>
      </c>
    </row>
    <row r="178">
      <c r="B178" s="133"/>
      <c r="C178" s="134"/>
      <c r="D178" s="91"/>
      <c r="E178" s="91"/>
      <c r="F178" s="91"/>
      <c r="G178" s="164"/>
      <c r="H178" s="164"/>
      <c r="I178" s="210"/>
      <c r="J178" s="240"/>
      <c r="K178" s="91"/>
      <c r="L178" s="133"/>
      <c r="M178" s="93"/>
      <c r="N178" s="210"/>
      <c r="O178" s="134"/>
      <c r="P178" s="93"/>
      <c r="Q178" s="134"/>
      <c r="R178" s="93"/>
    </row>
    <row r="179">
      <c r="B179" s="120" t="s">
        <v>394</v>
      </c>
      <c r="C179" s="69" t="s">
        <v>63</v>
      </c>
      <c r="D179" s="57" t="s">
        <v>59</v>
      </c>
      <c r="E179" s="121">
        <v>29687.0</v>
      </c>
      <c r="F179" s="221" t="s">
        <v>904</v>
      </c>
      <c r="G179" s="101">
        <f>- 741694 + 379.6 *2031</f>
        <v>29273.6</v>
      </c>
      <c r="H179" s="222">
        <f t="shared" ref="H179:H181" si="23">ABS(E179-G179)/E179</f>
        <v>0.01392528716</v>
      </c>
      <c r="I179" s="223"/>
      <c r="J179" s="224" t="s">
        <v>905</v>
      </c>
      <c r="K179" s="101">
        <f> - 5493297 + 2739 *2031</f>
        <v>69612</v>
      </c>
      <c r="L179" s="221" t="s">
        <v>906</v>
      </c>
      <c r="M179" s="100">
        <f>-5407046 + 2697 *2031- 0.02  *29687</f>
        <v>69967.26</v>
      </c>
      <c r="N179" s="223"/>
      <c r="O179" s="157">
        <v>40220.0</v>
      </c>
      <c r="P179" s="56">
        <v>43063.4</v>
      </c>
      <c r="Q179" s="160">
        <v>0.07069617105917457</v>
      </c>
      <c r="R179" s="101">
        <f t="shared" ref="R179:R181" si="24">M179/10.764</f>
        <v>6500.117057</v>
      </c>
    </row>
    <row r="180">
      <c r="B180" s="120" t="s">
        <v>394</v>
      </c>
      <c r="C180" s="137"/>
      <c r="D180" s="57" t="s">
        <v>66</v>
      </c>
      <c r="E180" s="121">
        <v>52091.0</v>
      </c>
      <c r="F180" s="221" t="s">
        <v>907</v>
      </c>
      <c r="G180" s="101">
        <f>- 3098556 + 1551 *2031</f>
        <v>51525</v>
      </c>
      <c r="H180" s="222">
        <f t="shared" si="23"/>
        <v>0.01086560058</v>
      </c>
      <c r="I180" s="223"/>
      <c r="J180" s="224" t="s">
        <v>908</v>
      </c>
      <c r="K180" s="101">
        <f>- 4519424 + 2255 *2031</f>
        <v>60481</v>
      </c>
      <c r="L180" s="221" t="s">
        <v>909</v>
      </c>
      <c r="M180" s="100">
        <f>1251722 - 634 *2031+ 1.848  *52091</f>
        <v>60332.168</v>
      </c>
      <c r="N180" s="223"/>
      <c r="O180" s="157">
        <v>37400.0</v>
      </c>
      <c r="P180" s="56">
        <v>39336.551999999996</v>
      </c>
      <c r="Q180" s="160">
        <v>0.05177946524064161</v>
      </c>
      <c r="R180" s="101">
        <f t="shared" si="24"/>
        <v>5604.995169</v>
      </c>
    </row>
    <row r="181">
      <c r="B181" s="120" t="s">
        <v>394</v>
      </c>
      <c r="C181" s="50"/>
      <c r="D181" s="57" t="s">
        <v>57</v>
      </c>
      <c r="E181" s="121">
        <v>64311.0</v>
      </c>
      <c r="F181" s="221" t="s">
        <v>910</v>
      </c>
      <c r="G181" s="101">
        <f>- 3270871 + 1643 *2031</f>
        <v>66062</v>
      </c>
      <c r="H181" s="222">
        <f t="shared" si="23"/>
        <v>0.02722706846</v>
      </c>
      <c r="I181" s="223"/>
      <c r="J181" s="224" t="s">
        <v>911</v>
      </c>
      <c r="K181" s="101">
        <f>- 6211966 + 3097 *2031</f>
        <v>78041</v>
      </c>
      <c r="L181" s="221" t="s">
        <v>912</v>
      </c>
      <c r="M181" s="100">
        <f>-3975909 + 1974 *2031+ 0.686  *64311</f>
        <v>77402.346</v>
      </c>
      <c r="N181" s="210"/>
      <c r="O181" s="157">
        <v>44350.0</v>
      </c>
      <c r="P181" s="56">
        <v>50321.46000000001</v>
      </c>
      <c r="Q181" s="160">
        <v>0.1346439684329201</v>
      </c>
      <c r="R181" s="101">
        <f t="shared" si="24"/>
        <v>7190.8534</v>
      </c>
    </row>
    <row r="182">
      <c r="B182" s="133"/>
      <c r="C182" s="134"/>
      <c r="D182" s="91"/>
      <c r="E182" s="91"/>
      <c r="F182" s="91"/>
      <c r="G182" s="164"/>
      <c r="H182" s="164"/>
      <c r="I182" s="210"/>
      <c r="J182" s="240"/>
      <c r="K182" s="91"/>
      <c r="L182" s="91"/>
      <c r="M182" s="93"/>
      <c r="N182" s="223"/>
      <c r="O182" s="134"/>
      <c r="P182" s="93"/>
      <c r="Q182" s="134"/>
      <c r="R182" s="93"/>
    </row>
    <row r="183">
      <c r="B183" s="120" t="s">
        <v>394</v>
      </c>
      <c r="C183" s="69" t="s">
        <v>49</v>
      </c>
      <c r="D183" s="57" t="s">
        <v>347</v>
      </c>
      <c r="E183" s="121">
        <v>43599.0</v>
      </c>
      <c r="F183" s="221" t="s">
        <v>913</v>
      </c>
      <c r="G183" s="101">
        <f>- 2049425 + 1030 *2031</f>
        <v>42505</v>
      </c>
      <c r="H183" s="222">
        <f>ABS(E183-G183)/E183</f>
        <v>0.02509231863</v>
      </c>
      <c r="I183" s="223"/>
      <c r="J183" s="224" t="s">
        <v>914</v>
      </c>
      <c r="K183" s="101">
        <f>- 4111134 + 2050 *2031</f>
        <v>52416</v>
      </c>
      <c r="L183" s="221" t="s">
        <v>915</v>
      </c>
      <c r="M183" s="100">
        <f>-3899522 + 1944 *2031+ 0.105*43599 </f>
        <v>53319.895</v>
      </c>
      <c r="N183" s="223"/>
      <c r="O183" s="162">
        <v>31560.0</v>
      </c>
      <c r="P183" s="56">
        <v>32554.48</v>
      </c>
      <c r="Q183" s="160">
        <v>0.031510773130544976</v>
      </c>
      <c r="R183" s="101">
        <f>M183/10.764</f>
        <v>4953.539112</v>
      </c>
    </row>
    <row r="184">
      <c r="B184" s="133"/>
      <c r="C184" s="134"/>
      <c r="D184" s="91"/>
      <c r="E184" s="91"/>
      <c r="F184" s="91"/>
      <c r="G184" s="164"/>
      <c r="H184" s="164"/>
      <c r="I184" s="210"/>
      <c r="J184" s="240"/>
      <c r="K184" s="91"/>
      <c r="L184" s="133"/>
      <c r="M184" s="93"/>
      <c r="N184" s="223"/>
      <c r="O184" s="134"/>
      <c r="P184" s="93"/>
      <c r="Q184" s="134"/>
      <c r="R184" s="93"/>
    </row>
    <row r="185">
      <c r="B185" s="120" t="s">
        <v>394</v>
      </c>
      <c r="C185" s="69" t="s">
        <v>68</v>
      </c>
      <c r="D185" s="57" t="s">
        <v>72</v>
      </c>
      <c r="E185" s="122">
        <v>95457.0</v>
      </c>
      <c r="F185" s="221" t="s">
        <v>916</v>
      </c>
      <c r="G185" s="101">
        <f>- 3562081 + 1802 *2031</f>
        <v>97781</v>
      </c>
      <c r="H185" s="222">
        <f t="shared" ref="H185:H190" si="25">ABS(E185-G185)/E185</f>
        <v>0.02434604063</v>
      </c>
      <c r="I185" s="223"/>
      <c r="J185" s="224" t="s">
        <v>917</v>
      </c>
      <c r="K185" s="101">
        <f>- 1902260 + 948.3 *2031</f>
        <v>23737.3</v>
      </c>
      <c r="L185" s="221" t="s">
        <v>918</v>
      </c>
      <c r="M185" s="100">
        <f>-2077371 + 1037 *2031- 0.051 *95457 </f>
        <v>23907.693</v>
      </c>
      <c r="N185" s="210"/>
      <c r="O185" s="86">
        <v>13400.0</v>
      </c>
      <c r="P185" s="56">
        <v>14136.076000000001</v>
      </c>
      <c r="Q185" s="160">
        <v>0.05493104477611947</v>
      </c>
      <c r="R185" s="101">
        <f t="shared" ref="R185:R190" si="26">M185/10.764</f>
        <v>2221.078874</v>
      </c>
    </row>
    <row r="186">
      <c r="B186" s="120" t="s">
        <v>394</v>
      </c>
      <c r="C186" s="137"/>
      <c r="D186" s="57" t="s">
        <v>299</v>
      </c>
      <c r="E186" s="121">
        <v>50728.0</v>
      </c>
      <c r="F186" s="221" t="s">
        <v>919</v>
      </c>
      <c r="G186" s="101">
        <f> - 1170022 + 601 *2031</f>
        <v>50609</v>
      </c>
      <c r="H186" s="222">
        <f t="shared" si="25"/>
        <v>0.002345844504</v>
      </c>
      <c r="I186" s="223"/>
      <c r="J186" s="224" t="s">
        <v>920</v>
      </c>
      <c r="K186" s="101">
        <f>- 7920466 + 3946 *2031</f>
        <v>93860</v>
      </c>
      <c r="L186" s="221" t="s">
        <v>921</v>
      </c>
      <c r="M186" s="100">
        <f>-7795684 + 3881 *2031+ 0.14 *50728 </f>
        <v>93728.92</v>
      </c>
      <c r="N186" s="223"/>
      <c r="O186" s="157">
        <v>49540.0</v>
      </c>
      <c r="P186" s="56">
        <v>54197.78</v>
      </c>
      <c r="Q186" s="160">
        <v>0.09402058942268872</v>
      </c>
      <c r="R186" s="101">
        <f t="shared" si="26"/>
        <v>8707.629134</v>
      </c>
    </row>
    <row r="187">
      <c r="B187" s="120" t="s">
        <v>394</v>
      </c>
      <c r="C187" s="47"/>
      <c r="D187" s="57" t="s">
        <v>52</v>
      </c>
      <c r="E187" s="121">
        <v>26971.0</v>
      </c>
      <c r="F187" s="221" t="s">
        <v>922</v>
      </c>
      <c r="G187" s="101">
        <f>- 1301649 + 653.4 *2031</f>
        <v>25406.4</v>
      </c>
      <c r="H187" s="222">
        <f t="shared" si="25"/>
        <v>0.05801045567</v>
      </c>
      <c r="I187" s="223"/>
      <c r="J187" s="224" t="s">
        <v>923</v>
      </c>
      <c r="K187" s="101">
        <f>- 14348353 + 7152 *2031</f>
        <v>177359</v>
      </c>
      <c r="L187" s="221" t="s">
        <v>924</v>
      </c>
      <c r="M187" s="100">
        <f>-18092862 + 9031*2031- 2.86*26971 </f>
        <v>171961.94</v>
      </c>
      <c r="N187" s="210"/>
      <c r="O187" s="157">
        <v>95900.0</v>
      </c>
      <c r="P187" s="56">
        <v>106359.48000000001</v>
      </c>
      <c r="Q187" s="160">
        <v>0.1090665276329511</v>
      </c>
      <c r="R187" s="101">
        <f t="shared" si="26"/>
        <v>15975.65403</v>
      </c>
    </row>
    <row r="188">
      <c r="B188" s="120" t="s">
        <v>394</v>
      </c>
      <c r="C188" s="47"/>
      <c r="D188" s="57" t="s">
        <v>289</v>
      </c>
      <c r="E188" s="121">
        <v>7327.0</v>
      </c>
      <c r="F188" s="221" t="s">
        <v>925</v>
      </c>
      <c r="G188" s="101">
        <f>- 103381 + 54.42 *2031</f>
        <v>7146.02</v>
      </c>
      <c r="H188" s="222">
        <f t="shared" si="25"/>
        <v>0.02470042309</v>
      </c>
      <c r="I188" s="223"/>
      <c r="J188" s="224" t="s">
        <v>926</v>
      </c>
      <c r="K188" s="101">
        <f>- 7902175 + 3950 *2031</f>
        <v>120275</v>
      </c>
      <c r="L188" s="221" t="s">
        <v>927</v>
      </c>
      <c r="M188" s="100">
        <f>-6893297 + 3417 *2031+ 10.34*7327</f>
        <v>122391.18</v>
      </c>
      <c r="N188" s="223"/>
      <c r="O188" s="157">
        <v>84700.0</v>
      </c>
      <c r="P188" s="56">
        <v>81500.18</v>
      </c>
      <c r="Q188" s="160">
        <v>0.037778276269185444</v>
      </c>
      <c r="R188" s="101">
        <f t="shared" si="26"/>
        <v>11370.41806</v>
      </c>
    </row>
    <row r="189">
      <c r="B189" s="120" t="s">
        <v>394</v>
      </c>
      <c r="C189" s="47"/>
      <c r="D189" s="57" t="s">
        <v>70</v>
      </c>
      <c r="E189" s="121">
        <v>13301.0</v>
      </c>
      <c r="F189" s="221" t="s">
        <v>928</v>
      </c>
      <c r="G189" s="101">
        <f>- 328646 + 168.3 *2031</f>
        <v>13171.3</v>
      </c>
      <c r="H189" s="222">
        <f t="shared" si="25"/>
        <v>0.00975114653</v>
      </c>
      <c r="I189" s="223"/>
      <c r="J189" s="224" t="s">
        <v>929</v>
      </c>
      <c r="K189" s="101">
        <f>- 7264698 + 3622 *2031</f>
        <v>91584</v>
      </c>
      <c r="L189" s="221" t="s">
        <v>930</v>
      </c>
      <c r="M189" s="100">
        <f>-2593300 + 1228 *2031+ 14.3 *13301 </f>
        <v>90972.3</v>
      </c>
      <c r="N189" s="223"/>
      <c r="O189" s="157">
        <v>49550.0</v>
      </c>
      <c r="P189" s="56">
        <v>54611.100000000006</v>
      </c>
      <c r="Q189" s="160">
        <v>0.102141271442987</v>
      </c>
      <c r="R189" s="101">
        <f t="shared" si="26"/>
        <v>8451.532887</v>
      </c>
    </row>
    <row r="190">
      <c r="B190" s="120" t="s">
        <v>394</v>
      </c>
      <c r="C190" s="50"/>
      <c r="D190" s="57" t="s">
        <v>68</v>
      </c>
      <c r="E190" s="122">
        <v>105976.0</v>
      </c>
      <c r="F190" s="221" t="s">
        <v>931</v>
      </c>
      <c r="G190" s="101">
        <f>- 8704362 + 4336 *2031</f>
        <v>102054</v>
      </c>
      <c r="H190" s="222">
        <f t="shared" si="25"/>
        <v>0.03700837926</v>
      </c>
      <c r="I190" s="223"/>
      <c r="J190" s="224" t="s">
        <v>932</v>
      </c>
      <c r="K190" s="101">
        <f>- 7261711 + 3616 *2031</f>
        <v>82385</v>
      </c>
      <c r="L190" s="221" t="s">
        <v>933</v>
      </c>
      <c r="M190" s="100">
        <f>-7611767 + 3790 *2031- 0.033 *105976</f>
        <v>82225.792</v>
      </c>
      <c r="N190" s="223"/>
      <c r="O190" s="86">
        <v>42000.0</v>
      </c>
      <c r="P190" s="56">
        <v>46166.169</v>
      </c>
      <c r="Q190" s="160">
        <v>0.09919450000000005</v>
      </c>
      <c r="R190" s="101">
        <f t="shared" si="26"/>
        <v>7638.962467</v>
      </c>
    </row>
    <row r="191">
      <c r="B191" s="133"/>
      <c r="C191" s="134"/>
      <c r="D191" s="91"/>
      <c r="E191" s="91"/>
      <c r="F191" s="91"/>
      <c r="G191" s="164"/>
      <c r="H191" s="164"/>
      <c r="I191" s="210"/>
      <c r="J191" s="240"/>
      <c r="K191" s="91"/>
      <c r="L191" s="133"/>
      <c r="M191" s="93"/>
      <c r="N191" s="223"/>
      <c r="O191" s="134"/>
      <c r="P191" s="93"/>
      <c r="Q191" s="134"/>
      <c r="R191" s="93"/>
    </row>
    <row r="192">
      <c r="B192" s="120" t="s">
        <v>398</v>
      </c>
      <c r="C192" s="69" t="s">
        <v>22</v>
      </c>
      <c r="D192" s="57" t="s">
        <v>318</v>
      </c>
      <c r="E192" s="121">
        <v>142664.0</v>
      </c>
      <c r="F192" s="221" t="s">
        <v>934</v>
      </c>
      <c r="G192" s="101">
        <f>- 12542800 + 6247 *2031</f>
        <v>144857</v>
      </c>
      <c r="H192" s="222">
        <f t="shared" ref="H192:H197" si="27">ABS(E192-G192)/E192</f>
        <v>0.01537178265</v>
      </c>
      <c r="I192" s="223"/>
      <c r="J192" s="224" t="s">
        <v>935</v>
      </c>
      <c r="K192" s="101">
        <f>- 6543969 + 3261 *2031</f>
        <v>79122</v>
      </c>
      <c r="L192" s="221" t="s">
        <v>936</v>
      </c>
      <c r="M192" s="100">
        <f>-6176555 + 3078 *2031+ 0.0285 *142664</f>
        <v>78928.924</v>
      </c>
      <c r="N192" s="223"/>
      <c r="O192" s="157">
        <v>46500.0</v>
      </c>
      <c r="P192" s="56">
        <v>46793.065</v>
      </c>
      <c r="Q192" s="160">
        <v>0.00630247311827962</v>
      </c>
      <c r="R192" s="101">
        <f t="shared" ref="R192:R197" si="28">M192/10.764</f>
        <v>7332.675957</v>
      </c>
    </row>
    <row r="193">
      <c r="B193" s="120" t="s">
        <v>398</v>
      </c>
      <c r="C193" s="137"/>
      <c r="D193" s="57" t="s">
        <v>314</v>
      </c>
      <c r="E193" s="121">
        <v>36731.0</v>
      </c>
      <c r="F193" s="221" t="s">
        <v>937</v>
      </c>
      <c r="G193" s="101">
        <f>- 1221125 + 620 *2031</f>
        <v>38095</v>
      </c>
      <c r="H193" s="222">
        <f t="shared" si="27"/>
        <v>0.03713484523</v>
      </c>
      <c r="I193" s="223"/>
      <c r="J193" s="224" t="s">
        <v>938</v>
      </c>
      <c r="K193" s="101">
        <f> - 6758462 + 3368 *2031</f>
        <v>81946</v>
      </c>
      <c r="L193" s="221" t="s">
        <v>939</v>
      </c>
      <c r="M193" s="100">
        <f> -7360702 + 3675 *2031- 0.545 *36731</f>
        <v>83204.605</v>
      </c>
      <c r="N193" s="223"/>
      <c r="O193" s="157">
        <v>48400.0</v>
      </c>
      <c r="P193" s="56">
        <v>46956.005</v>
      </c>
      <c r="Q193" s="160">
        <v>0.029834607438016584</v>
      </c>
      <c r="R193" s="101">
        <f t="shared" si="28"/>
        <v>7729.896414</v>
      </c>
    </row>
    <row r="194">
      <c r="B194" s="120" t="s">
        <v>398</v>
      </c>
      <c r="C194" s="47"/>
      <c r="D194" s="57" t="s">
        <v>22</v>
      </c>
      <c r="E194" s="122">
        <v>22883.0</v>
      </c>
      <c r="F194" s="221" t="s">
        <v>940</v>
      </c>
      <c r="G194" s="101">
        <f>- 1282044 + 643.4 *2031</f>
        <v>24701.4</v>
      </c>
      <c r="H194" s="222">
        <f t="shared" si="27"/>
        <v>0.0794651051</v>
      </c>
      <c r="I194" s="223"/>
      <c r="J194" s="224" t="s">
        <v>941</v>
      </c>
      <c r="K194" s="101">
        <f>- 4828226 + 2407 *2031</f>
        <v>60391</v>
      </c>
      <c r="L194" s="221" t="s">
        <v>942</v>
      </c>
      <c r="M194" s="100">
        <f>-5142624 + 2565 *2031- 0.246 *22883</f>
        <v>61261.782</v>
      </c>
      <c r="N194" s="210"/>
      <c r="O194" s="86">
        <v>35600.0</v>
      </c>
      <c r="P194" s="56">
        <v>35780.292</v>
      </c>
      <c r="Q194" s="160">
        <v>0.005064382022471946</v>
      </c>
      <c r="R194" s="101">
        <f t="shared" si="28"/>
        <v>5691.358417</v>
      </c>
    </row>
    <row r="195">
      <c r="B195" s="120" t="s">
        <v>398</v>
      </c>
      <c r="C195" s="47"/>
      <c r="D195" s="57" t="s">
        <v>333</v>
      </c>
      <c r="E195" s="121">
        <v>8613.0</v>
      </c>
      <c r="F195" s="221" t="s">
        <v>943</v>
      </c>
      <c r="G195" s="101">
        <f> - 244910 + 124.9 *2031</f>
        <v>8761.9</v>
      </c>
      <c r="H195" s="222">
        <f t="shared" si="27"/>
        <v>0.01728782074</v>
      </c>
      <c r="I195" s="223"/>
      <c r="J195" s="224" t="s">
        <v>944</v>
      </c>
      <c r="K195" s="101">
        <f>- 4563499 + 2277 *2031</f>
        <v>61088</v>
      </c>
      <c r="L195" s="221" t="s">
        <v>945</v>
      </c>
      <c r="M195" s="100">
        <f>-4813225 + 2406 *2031- 1.29 *8613</f>
        <v>62250.23</v>
      </c>
      <c r="N195" s="223"/>
      <c r="O195" s="157">
        <v>37900.0</v>
      </c>
      <c r="P195" s="56">
        <v>38262.47</v>
      </c>
      <c r="Q195" s="160">
        <v>0.009563852242744093</v>
      </c>
      <c r="R195" s="101">
        <f t="shared" si="28"/>
        <v>5783.187477</v>
      </c>
    </row>
    <row r="196">
      <c r="B196" s="120" t="s">
        <v>398</v>
      </c>
      <c r="C196" s="47"/>
      <c r="D196" s="57" t="s">
        <v>26</v>
      </c>
      <c r="E196" s="122">
        <v>47934.0</v>
      </c>
      <c r="F196" s="221" t="s">
        <v>946</v>
      </c>
      <c r="G196" s="101">
        <f>- 2006424 + 1012 *2031</f>
        <v>48948</v>
      </c>
      <c r="H196" s="222">
        <f t="shared" si="27"/>
        <v>0.02115408687</v>
      </c>
      <c r="I196" s="223"/>
      <c r="J196" s="224" t="s">
        <v>947</v>
      </c>
      <c r="K196" s="101">
        <f>- 7647950 + 3814 *2031</f>
        <v>98284</v>
      </c>
      <c r="L196" s="221" t="s">
        <v>948</v>
      </c>
      <c r="M196" s="100">
        <f>-10947697 + 5479 *2031- 1.67*47934</f>
        <v>100102.22</v>
      </c>
      <c r="N196" s="223"/>
      <c r="O196" s="86">
        <v>54700.0</v>
      </c>
      <c r="P196" s="56">
        <v>51940.45</v>
      </c>
      <c r="Q196" s="160">
        <v>0.050448811700182866</v>
      </c>
      <c r="R196" s="101">
        <f t="shared" si="28"/>
        <v>9299.723151</v>
      </c>
    </row>
    <row r="197">
      <c r="B197" s="120" t="s">
        <v>398</v>
      </c>
      <c r="C197" s="50"/>
      <c r="D197" s="57" t="s">
        <v>110</v>
      </c>
      <c r="E197" s="121">
        <v>37057.0</v>
      </c>
      <c r="F197" s="221" t="s">
        <v>949</v>
      </c>
      <c r="G197" s="101">
        <f>- 2133594 + 1070 *2031</f>
        <v>39576</v>
      </c>
      <c r="H197" s="222">
        <f t="shared" si="27"/>
        <v>0.06797636074</v>
      </c>
      <c r="I197" s="223"/>
      <c r="J197" s="224" t="s">
        <v>950</v>
      </c>
      <c r="K197" s="101">
        <f> - 6219271 + 3104 *2031</f>
        <v>84953</v>
      </c>
      <c r="L197" s="221" t="s">
        <v>951</v>
      </c>
      <c r="M197" s="100">
        <f>-7771869 + 3882 *2031- 0.71*37057</f>
        <v>86162.53</v>
      </c>
      <c r="N197" s="223"/>
      <c r="O197" s="157">
        <v>50000.0</v>
      </c>
      <c r="P197" s="56">
        <v>48789.51</v>
      </c>
      <c r="Q197" s="160">
        <v>0.02420979999999996</v>
      </c>
      <c r="R197" s="101">
        <f t="shared" si="28"/>
        <v>8004.694352</v>
      </c>
    </row>
    <row r="198">
      <c r="B198" s="133"/>
      <c r="C198" s="134"/>
      <c r="D198" s="91"/>
      <c r="E198" s="91"/>
      <c r="F198" s="91"/>
      <c r="G198" s="164"/>
      <c r="H198" s="164"/>
      <c r="I198" s="210"/>
      <c r="J198" s="240"/>
      <c r="K198" s="91"/>
      <c r="L198" s="91"/>
      <c r="M198" s="93"/>
      <c r="N198" s="223"/>
      <c r="O198" s="134"/>
      <c r="P198" s="93"/>
      <c r="Q198" s="134"/>
      <c r="R198" s="93"/>
    </row>
    <row r="199">
      <c r="B199" s="120" t="s">
        <v>398</v>
      </c>
      <c r="C199" s="69" t="s">
        <v>128</v>
      </c>
      <c r="D199" s="60" t="s">
        <v>126</v>
      </c>
      <c r="E199" s="121">
        <v>43448.0</v>
      </c>
      <c r="F199" s="221" t="s">
        <v>952</v>
      </c>
      <c r="G199" s="101">
        <f>- 2902736 + 1450 *2031</f>
        <v>42214</v>
      </c>
      <c r="H199" s="222">
        <f t="shared" ref="H199:H218" si="29">ABS(E199-G199)/E199</f>
        <v>0.02840176763</v>
      </c>
      <c r="I199" s="223"/>
      <c r="J199" s="224" t="s">
        <v>953</v>
      </c>
      <c r="K199" s="101">
        <f>- 6011219 + 2996 *2031</f>
        <v>73657</v>
      </c>
      <c r="L199" s="221" t="s">
        <v>954</v>
      </c>
      <c r="M199" s="100">
        <f> -12896562 + 6436 *2031- 2.35*43448 </f>
        <v>72851.2</v>
      </c>
      <c r="N199" s="223"/>
      <c r="O199" s="157">
        <v>41400.0</v>
      </c>
      <c r="P199" s="56">
        <v>42150.25</v>
      </c>
      <c r="Q199" s="160">
        <v>0.018121980676328503</v>
      </c>
      <c r="R199" s="101">
        <f t="shared" ref="R199:R218" si="30">M199/10.764</f>
        <v>6768.04162</v>
      </c>
    </row>
    <row r="200">
      <c r="B200" s="120" t="s">
        <v>398</v>
      </c>
      <c r="C200" s="137"/>
      <c r="D200" s="60" t="s">
        <v>220</v>
      </c>
      <c r="E200" s="121">
        <v>3600.0</v>
      </c>
      <c r="F200" s="221" t="s">
        <v>955</v>
      </c>
      <c r="G200" s="101">
        <f> - 2276 + 2.88 *2031</f>
        <v>3573.28</v>
      </c>
      <c r="H200" s="222">
        <f t="shared" si="29"/>
        <v>0.007422222222</v>
      </c>
      <c r="I200" s="223"/>
      <c r="J200" s="224" t="s">
        <v>956</v>
      </c>
      <c r="K200" s="101">
        <f>- 5128529 + 2567 *2031</f>
        <v>85048</v>
      </c>
      <c r="L200" s="221" t="s">
        <v>957</v>
      </c>
      <c r="M200" s="100">
        <f>-5085293 + 2532 *2031+ 7.76 *3600</f>
        <v>85135</v>
      </c>
      <c r="N200" s="223"/>
      <c r="O200" s="157">
        <v>61600.0</v>
      </c>
      <c r="P200" s="56">
        <v>59683.08</v>
      </c>
      <c r="Q200" s="160">
        <v>0.03111883116883114</v>
      </c>
      <c r="R200" s="101">
        <f t="shared" si="30"/>
        <v>7909.234485</v>
      </c>
    </row>
    <row r="201">
      <c r="B201" s="120" t="s">
        <v>398</v>
      </c>
      <c r="C201" s="47"/>
      <c r="D201" s="60" t="s">
        <v>328</v>
      </c>
      <c r="E201" s="121">
        <v>4741.0</v>
      </c>
      <c r="F201" s="221" t="s">
        <v>958</v>
      </c>
      <c r="G201" s="101">
        <f>878 + 1.883 *2031</f>
        <v>4702.373</v>
      </c>
      <c r="H201" s="222">
        <f t="shared" si="29"/>
        <v>0.00814743725</v>
      </c>
      <c r="I201" s="223"/>
      <c r="J201" s="224" t="s">
        <v>959</v>
      </c>
      <c r="K201" s="101">
        <f>- 4097111 + 2047 *2031</f>
        <v>60346</v>
      </c>
      <c r="L201" s="221" t="s">
        <v>960</v>
      </c>
      <c r="M201" s="100">
        <f>-3973676 + 2087 *2031- 43.5 *4741</f>
        <v>58787.5</v>
      </c>
      <c r="N201" s="210"/>
      <c r="O201" s="157">
        <v>37400.0</v>
      </c>
      <c r="P201" s="56">
        <v>42050.0</v>
      </c>
      <c r="Q201" s="160">
        <v>0.12433155080213903</v>
      </c>
      <c r="R201" s="101">
        <f t="shared" si="30"/>
        <v>5461.49201</v>
      </c>
    </row>
    <row r="202">
      <c r="B202" s="120" t="s">
        <v>398</v>
      </c>
      <c r="C202" s="47"/>
      <c r="D202" s="60" t="s">
        <v>199</v>
      </c>
      <c r="E202" s="121">
        <v>7613.0</v>
      </c>
      <c r="F202" s="221" t="s">
        <v>961</v>
      </c>
      <c r="G202" s="101">
        <f>- 1954 + 4.67 *2031</f>
        <v>7530.77</v>
      </c>
      <c r="H202" s="222">
        <f t="shared" si="29"/>
        <v>0.010801261</v>
      </c>
      <c r="I202" s="223"/>
      <c r="J202" s="224" t="s">
        <v>962</v>
      </c>
      <c r="K202" s="101">
        <f> - 6932280 + 3466 *2031</f>
        <v>107166</v>
      </c>
      <c r="L202" s="221" t="s">
        <v>963</v>
      </c>
      <c r="M202" s="100">
        <f>-6877260 + 3482 *2031 - 11.6 *7613</f>
        <v>106371.2</v>
      </c>
      <c r="N202" s="223"/>
      <c r="O202" s="157">
        <v>74700.0</v>
      </c>
      <c r="P202" s="56">
        <v>73708.8</v>
      </c>
      <c r="Q202" s="160">
        <v>0.013269076305220845</v>
      </c>
      <c r="R202" s="101">
        <f t="shared" si="30"/>
        <v>9882.125604</v>
      </c>
    </row>
    <row r="203">
      <c r="B203" s="120" t="s">
        <v>398</v>
      </c>
      <c r="C203" s="47"/>
      <c r="D203" s="60" t="s">
        <v>127</v>
      </c>
      <c r="E203" s="121">
        <v>30791.0</v>
      </c>
      <c r="F203" s="221" t="s">
        <v>964</v>
      </c>
      <c r="G203" s="101">
        <f>- 1323325 + 667.2 *2031</f>
        <v>31758.2</v>
      </c>
      <c r="H203" s="222">
        <f t="shared" si="29"/>
        <v>0.03141177617</v>
      </c>
      <c r="I203" s="223"/>
      <c r="J203" s="224" t="s">
        <v>965</v>
      </c>
      <c r="K203" s="101">
        <f>- 6269931 + 3125 *2031</f>
        <v>76944</v>
      </c>
      <c r="L203" s="221" t="s">
        <v>966</v>
      </c>
      <c r="M203" s="100">
        <f>-5634555 + 2803 *2031+ 0.56 *30791</f>
        <v>75580.96</v>
      </c>
      <c r="N203" s="223"/>
      <c r="O203" s="157">
        <v>42100.0</v>
      </c>
      <c r="P203" s="56">
        <v>45756.16</v>
      </c>
      <c r="Q203" s="160">
        <v>0.08684465558194783</v>
      </c>
      <c r="R203" s="101">
        <f t="shared" si="30"/>
        <v>7021.642512</v>
      </c>
    </row>
    <row r="204">
      <c r="B204" s="120" t="s">
        <v>398</v>
      </c>
      <c r="C204" s="47"/>
      <c r="D204" s="20" t="s">
        <v>203</v>
      </c>
      <c r="E204" s="121">
        <v>5953.0</v>
      </c>
      <c r="F204" s="221" t="s">
        <v>967</v>
      </c>
      <c r="G204" s="101">
        <f>- 17736 + 11.65 *2031</f>
        <v>5925.15</v>
      </c>
      <c r="H204" s="222">
        <f t="shared" si="29"/>
        <v>0.004678313455</v>
      </c>
      <c r="I204" s="223"/>
      <c r="J204" s="224" t="s">
        <v>968</v>
      </c>
      <c r="K204" s="101">
        <f>- 3218155 + 1612 *2031</f>
        <v>55817</v>
      </c>
      <c r="L204" s="221" t="s">
        <v>969</v>
      </c>
      <c r="M204" s="100">
        <f> -3563828 + 1830 *2031- 16.29 *5953</f>
        <v>55927.63</v>
      </c>
      <c r="N204" s="223"/>
      <c r="O204" s="157">
        <v>37300.0</v>
      </c>
      <c r="P204" s="56">
        <v>39321.79000000001</v>
      </c>
      <c r="Q204" s="160">
        <v>0.05420348525469191</v>
      </c>
      <c r="R204" s="101">
        <f t="shared" si="30"/>
        <v>5195.803605</v>
      </c>
    </row>
    <row r="205">
      <c r="B205" s="120" t="s">
        <v>398</v>
      </c>
      <c r="C205" s="47"/>
      <c r="D205" s="60" t="s">
        <v>283</v>
      </c>
      <c r="E205" s="122">
        <v>7512.0</v>
      </c>
      <c r="F205" s="221" t="s">
        <v>970</v>
      </c>
      <c r="G205" s="101">
        <f>- 38733 + 22.73 *2031</f>
        <v>7431.63</v>
      </c>
      <c r="H205" s="222">
        <f t="shared" si="29"/>
        <v>0.01069888179</v>
      </c>
      <c r="I205" s="223"/>
      <c r="J205" s="224" t="s">
        <v>971</v>
      </c>
      <c r="K205" s="101">
        <f> -9425621 + 4706*2031</f>
        <v>132265</v>
      </c>
      <c r="L205" s="221" t="s">
        <v>972</v>
      </c>
      <c r="M205" s="100">
        <f> -9387128 + 4677*2031+ 2.85 *7512</f>
        <v>133268.2</v>
      </c>
      <c r="N205" s="223"/>
      <c r="O205" s="86">
        <v>82500.0</v>
      </c>
      <c r="P205" s="56">
        <v>85871.2</v>
      </c>
      <c r="Q205" s="160">
        <v>0.04086303030303027</v>
      </c>
      <c r="R205" s="101">
        <f t="shared" si="30"/>
        <v>12380.91787</v>
      </c>
    </row>
    <row r="206">
      <c r="B206" s="120" t="s">
        <v>398</v>
      </c>
      <c r="C206" s="47"/>
      <c r="D206" s="60" t="s">
        <v>120</v>
      </c>
      <c r="E206" s="121">
        <v>4702.0</v>
      </c>
      <c r="F206" s="221" t="s">
        <v>973</v>
      </c>
      <c r="G206" s="101">
        <f>- 15311 + 9.851 *2031</f>
        <v>4696.381</v>
      </c>
      <c r="H206" s="222">
        <f t="shared" si="29"/>
        <v>0.001195023394</v>
      </c>
      <c r="I206" s="223"/>
      <c r="J206" s="224" t="s">
        <v>974</v>
      </c>
      <c r="K206" s="101">
        <f> - 7384558 + 3680 *2031</f>
        <v>89522</v>
      </c>
      <c r="L206" s="221" t="s">
        <v>975</v>
      </c>
      <c r="M206" s="100">
        <f> -7653580 + 3858.8 *2031- 20.04 *4702</f>
        <v>89414.72</v>
      </c>
      <c r="N206" s="223"/>
      <c r="O206" s="157">
        <v>52170.0</v>
      </c>
      <c r="P206" s="56">
        <v>52069.200000000754</v>
      </c>
      <c r="Q206" s="160">
        <v>0.0019321449108538665</v>
      </c>
      <c r="R206" s="101">
        <f t="shared" si="30"/>
        <v>8306.830175</v>
      </c>
    </row>
    <row r="207">
      <c r="B207" s="120" t="s">
        <v>398</v>
      </c>
      <c r="C207" s="47"/>
      <c r="D207" s="60" t="s">
        <v>207</v>
      </c>
      <c r="E207" s="121">
        <v>4626.0</v>
      </c>
      <c r="F207" s="221" t="s">
        <v>976</v>
      </c>
      <c r="G207" s="101">
        <f>- 13474 + 8.88 *2031</f>
        <v>4561.28</v>
      </c>
      <c r="H207" s="222">
        <f t="shared" si="29"/>
        <v>0.01399048854</v>
      </c>
      <c r="I207" s="223"/>
      <c r="J207" s="224" t="s">
        <v>977</v>
      </c>
      <c r="K207" s="101">
        <f> -4817115 + 2404*2031</f>
        <v>65409</v>
      </c>
      <c r="L207" s="221" t="s">
        <v>978</v>
      </c>
      <c r="M207" s="100">
        <f>-4738677 + 2349.1*2031 + 7.23 *4626</f>
        <v>65791.08</v>
      </c>
      <c r="N207" s="223"/>
      <c r="O207" s="157">
        <v>41600.0</v>
      </c>
      <c r="P207" s="56">
        <v>41425.24999999963</v>
      </c>
      <c r="Q207" s="160">
        <v>0.004200721153855074</v>
      </c>
      <c r="R207" s="101">
        <f t="shared" si="30"/>
        <v>6112.140468</v>
      </c>
    </row>
    <row r="208">
      <c r="B208" s="120" t="s">
        <v>398</v>
      </c>
      <c r="C208" s="47"/>
      <c r="D208" s="60" t="s">
        <v>285</v>
      </c>
      <c r="E208" s="121">
        <v>4905.0</v>
      </c>
      <c r="F208" s="221" t="s">
        <v>979</v>
      </c>
      <c r="G208" s="101">
        <f> 2578 + 1.125 *2031</f>
        <v>4862.875</v>
      </c>
      <c r="H208" s="222">
        <f t="shared" si="29"/>
        <v>0.008588175331</v>
      </c>
      <c r="I208" s="223"/>
      <c r="J208" s="224" t="s">
        <v>980</v>
      </c>
      <c r="K208" s="101">
        <f>- 8729740 + 4360 *2031</f>
        <v>125420</v>
      </c>
      <c r="L208" s="221" t="s">
        <v>981</v>
      </c>
      <c r="M208" s="100">
        <f> -8538355 + 4359 *2031 - 39 *4905</f>
        <v>123479</v>
      </c>
      <c r="N208" s="223"/>
      <c r="O208" s="157">
        <v>81000.0</v>
      </c>
      <c r="P208" s="56">
        <v>84140.0</v>
      </c>
      <c r="Q208" s="160">
        <v>0.03876543209876543</v>
      </c>
      <c r="R208" s="101">
        <f t="shared" si="30"/>
        <v>11471.479</v>
      </c>
    </row>
    <row r="209">
      <c r="B209" s="120" t="s">
        <v>398</v>
      </c>
      <c r="C209" s="47"/>
      <c r="D209" s="60" t="s">
        <v>130</v>
      </c>
      <c r="E209" s="121">
        <v>14953.0</v>
      </c>
      <c r="F209" s="221" t="s">
        <v>982</v>
      </c>
      <c r="G209" s="101">
        <f>- 145824 + 79.13 *2031</f>
        <v>14889.03</v>
      </c>
      <c r="H209" s="222">
        <f t="shared" si="29"/>
        <v>0.00427807129</v>
      </c>
      <c r="I209" s="223"/>
      <c r="J209" s="224" t="s">
        <v>983</v>
      </c>
      <c r="K209" s="101">
        <f>- 8721357 + 4342 *2031</f>
        <v>97245</v>
      </c>
      <c r="L209" s="221" t="s">
        <v>984</v>
      </c>
      <c r="M209" s="100">
        <f> -7234052 + 3534 *2031+ 10.39*14953</f>
        <v>98863.67</v>
      </c>
      <c r="N209" s="223"/>
      <c r="O209" s="157">
        <v>55700.0</v>
      </c>
      <c r="P209" s="56">
        <v>56292.23000000001</v>
      </c>
      <c r="Q209" s="160">
        <v>0.010632495511669848</v>
      </c>
      <c r="R209" s="101">
        <f t="shared" si="30"/>
        <v>9184.659049</v>
      </c>
    </row>
    <row r="210">
      <c r="B210" s="120" t="s">
        <v>398</v>
      </c>
      <c r="C210" s="47"/>
      <c r="D210" s="60" t="s">
        <v>204</v>
      </c>
      <c r="E210" s="121">
        <v>7813.0</v>
      </c>
      <c r="F210" s="221" t="s">
        <v>985</v>
      </c>
      <c r="G210" s="101">
        <f>- 5243 + 6.33 *2031</f>
        <v>7613.23</v>
      </c>
      <c r="H210" s="222">
        <f t="shared" si="29"/>
        <v>0.02556892359</v>
      </c>
      <c r="I210" s="223"/>
      <c r="J210" s="224" t="s">
        <v>986</v>
      </c>
      <c r="K210" s="101">
        <f>- 9930743 + 4952 *2031</f>
        <v>126769</v>
      </c>
      <c r="L210" s="221" t="s">
        <v>987</v>
      </c>
      <c r="M210" s="100">
        <f>-10019834 + 5018*2031 - 5.8 *7813</f>
        <v>126408.6</v>
      </c>
      <c r="N210" s="223"/>
      <c r="O210" s="157">
        <v>74500.0</v>
      </c>
      <c r="P210" s="56">
        <v>78966.20000000001</v>
      </c>
      <c r="Q210" s="160">
        <v>0.05994899328859076</v>
      </c>
      <c r="R210" s="101">
        <f t="shared" si="30"/>
        <v>11743.64548</v>
      </c>
    </row>
    <row r="211">
      <c r="B211" s="120" t="s">
        <v>398</v>
      </c>
      <c r="C211" s="47"/>
      <c r="D211" s="60" t="s">
        <v>202</v>
      </c>
      <c r="E211" s="121">
        <v>7260.0</v>
      </c>
      <c r="F211" s="221" t="s">
        <v>988</v>
      </c>
      <c r="G211" s="101">
        <f>- 43598 + 25.01 *2031</f>
        <v>7197.31</v>
      </c>
      <c r="H211" s="222">
        <f t="shared" si="29"/>
        <v>0.008634986226</v>
      </c>
      <c r="I211" s="223"/>
      <c r="J211" s="224" t="s">
        <v>989</v>
      </c>
      <c r="K211" s="101">
        <f>- 10558924 + 5260 *2031</f>
        <v>124136</v>
      </c>
      <c r="L211" s="221" t="s">
        <v>990</v>
      </c>
      <c r="M211" s="100">
        <f> -11199178 + 5627 *2031- 14.73 *7260</f>
        <v>122319.2</v>
      </c>
      <c r="N211" s="223"/>
      <c r="O211" s="157">
        <v>71000.0</v>
      </c>
      <c r="P211" s="56">
        <v>70586.04</v>
      </c>
      <c r="Q211" s="160">
        <v>0.005830422535211358</v>
      </c>
      <c r="R211" s="101">
        <f t="shared" si="30"/>
        <v>11363.73096</v>
      </c>
    </row>
    <row r="212">
      <c r="B212" s="120" t="s">
        <v>398</v>
      </c>
      <c r="C212" s="47"/>
      <c r="D212" s="60" t="s">
        <v>121</v>
      </c>
      <c r="E212" s="121">
        <v>12860.0</v>
      </c>
      <c r="F212" s="221" t="s">
        <v>991</v>
      </c>
      <c r="G212" s="101">
        <f>- 224489 + 116.7 *2031</f>
        <v>12528.7</v>
      </c>
      <c r="H212" s="222">
        <f t="shared" si="29"/>
        <v>0.02576205288</v>
      </c>
      <c r="I212" s="223"/>
      <c r="J212" s="224" t="s">
        <v>974</v>
      </c>
      <c r="K212" s="101">
        <f> - 7384558 + 3680 *2031</f>
        <v>89522</v>
      </c>
      <c r="L212" s="221" t="s">
        <v>992</v>
      </c>
      <c r="M212" s="100">
        <f>-7427425 + 3703 *2031- 0.36 *12860</f>
        <v>88738.4</v>
      </c>
      <c r="N212" s="223"/>
      <c r="O212" s="157">
        <v>52170.0</v>
      </c>
      <c r="P212" s="56">
        <v>52390.6</v>
      </c>
      <c r="Q212" s="160">
        <v>0.00422848380295186</v>
      </c>
      <c r="R212" s="101">
        <f t="shared" si="30"/>
        <v>8243.998514</v>
      </c>
    </row>
    <row r="213">
      <c r="B213" s="120" t="s">
        <v>398</v>
      </c>
      <c r="C213" s="47"/>
      <c r="D213" s="60" t="s">
        <v>224</v>
      </c>
      <c r="E213" s="121">
        <v>5798.0</v>
      </c>
      <c r="F213" s="221" t="s">
        <v>993</v>
      </c>
      <c r="G213" s="101">
        <f>- 21584 + 13.47 *2031</f>
        <v>5773.57</v>
      </c>
      <c r="H213" s="222">
        <f t="shared" si="29"/>
        <v>0.004213521904</v>
      </c>
      <c r="I213" s="223"/>
      <c r="J213" s="224" t="s">
        <v>994</v>
      </c>
      <c r="K213" s="101">
        <f>- 7254039 + 3621 *2031</f>
        <v>100212</v>
      </c>
      <c r="L213" s="221" t="s">
        <v>995</v>
      </c>
      <c r="M213" s="100">
        <f>-6853496 + 3369 *2031+ 19.3 *5798</f>
        <v>100844.4</v>
      </c>
      <c r="N213" s="223"/>
      <c r="O213" s="157">
        <v>69210.0</v>
      </c>
      <c r="P213" s="56">
        <v>65166.5</v>
      </c>
      <c r="Q213" s="160">
        <v>0.05842363820257188</v>
      </c>
      <c r="R213" s="101">
        <f t="shared" si="30"/>
        <v>9368.673356</v>
      </c>
    </row>
    <row r="214">
      <c r="B214" s="120" t="s">
        <v>398</v>
      </c>
      <c r="C214" s="47"/>
      <c r="D214" s="60" t="s">
        <v>225</v>
      </c>
      <c r="E214" s="121">
        <v>7457.0</v>
      </c>
      <c r="F214" s="221" t="s">
        <v>996</v>
      </c>
      <c r="G214" s="101">
        <f>- 103092 + 54.42 *2031</f>
        <v>7435.02</v>
      </c>
      <c r="H214" s="222">
        <f t="shared" si="29"/>
        <v>0.002947566045</v>
      </c>
      <c r="I214" s="223"/>
      <c r="J214" s="224" t="s">
        <v>997</v>
      </c>
      <c r="K214" s="101">
        <f>- 7179155 + 3584 *2031</f>
        <v>99949</v>
      </c>
      <c r="L214" s="221" t="s">
        <v>998</v>
      </c>
      <c r="M214" s="100">
        <f>-7445927 + 3727 *2031 - 3.19 *7457</f>
        <v>99822.17</v>
      </c>
      <c r="N214" s="223"/>
      <c r="O214" s="157">
        <v>65360.0</v>
      </c>
      <c r="P214" s="56">
        <v>63241.21</v>
      </c>
      <c r="Q214" s="160">
        <v>0.032417227662178714</v>
      </c>
      <c r="R214" s="101">
        <f t="shared" si="30"/>
        <v>9273.705871</v>
      </c>
    </row>
    <row r="215">
      <c r="B215" s="120" t="s">
        <v>398</v>
      </c>
      <c r="C215" s="47"/>
      <c r="D215" s="60" t="s">
        <v>128</v>
      </c>
      <c r="E215" s="121">
        <v>37623.0</v>
      </c>
      <c r="F215" s="221" t="s">
        <v>999</v>
      </c>
      <c r="G215" s="101">
        <f>- 2013689 + 1010 *2031</f>
        <v>37621</v>
      </c>
      <c r="H215" s="222">
        <f t="shared" si="29"/>
        <v>0.00005315897191</v>
      </c>
      <c r="I215" s="223"/>
      <c r="J215" s="224" t="s">
        <v>1000</v>
      </c>
      <c r="K215" s="101">
        <f>- 4504121 + 2244 *2031</f>
        <v>53443</v>
      </c>
      <c r="L215" s="221" t="s">
        <v>1001</v>
      </c>
      <c r="M215" s="100">
        <f>-5719120 + 2853 *2031- 0.594 *37623</f>
        <v>52974.938</v>
      </c>
      <c r="N215" s="223"/>
      <c r="O215" s="157">
        <v>29200.0</v>
      </c>
      <c r="P215" s="56">
        <v>28659.962</v>
      </c>
      <c r="Q215" s="160">
        <v>0.018494452054794535</v>
      </c>
      <c r="R215" s="101">
        <f t="shared" si="30"/>
        <v>4921.491825</v>
      </c>
    </row>
    <row r="216">
      <c r="B216" s="120" t="s">
        <v>398</v>
      </c>
      <c r="C216" s="47"/>
      <c r="D216" s="60" t="s">
        <v>131</v>
      </c>
      <c r="E216" s="121">
        <v>25356.0</v>
      </c>
      <c r="F216" s="221" t="s">
        <v>1002</v>
      </c>
      <c r="G216" s="101">
        <f>- 782893 + 397.9 *2031</f>
        <v>25241.9</v>
      </c>
      <c r="H216" s="222">
        <f t="shared" si="29"/>
        <v>0.004499921123</v>
      </c>
      <c r="I216" s="223"/>
      <c r="J216" s="224" t="s">
        <v>1003</v>
      </c>
      <c r="K216" s="101">
        <f>- 5859088 + 2917 *2031</f>
        <v>65339</v>
      </c>
      <c r="L216" s="221" t="s">
        <v>1004</v>
      </c>
      <c r="M216" s="100">
        <f> -6793710 + 3393 *2031- 1.25 *25356</f>
        <v>65778</v>
      </c>
      <c r="N216" s="223"/>
      <c r="O216" s="157">
        <v>35650.0</v>
      </c>
      <c r="P216" s="56">
        <v>36741.75</v>
      </c>
      <c r="Q216" s="160">
        <v>0.030624123422159887</v>
      </c>
      <c r="R216" s="101">
        <f t="shared" si="30"/>
        <v>6110.925307</v>
      </c>
    </row>
    <row r="217">
      <c r="B217" s="120" t="s">
        <v>398</v>
      </c>
      <c r="C217" s="47"/>
      <c r="D217" s="60" t="s">
        <v>281</v>
      </c>
      <c r="E217" s="121">
        <v>5344.0</v>
      </c>
      <c r="F217" s="221" t="s">
        <v>1005</v>
      </c>
      <c r="G217" s="101">
        <f>- 8013 + 6.545 *2031</f>
        <v>5279.895</v>
      </c>
      <c r="H217" s="222">
        <f t="shared" si="29"/>
        <v>0.01199569611</v>
      </c>
      <c r="I217" s="223"/>
      <c r="J217" s="224" t="s">
        <v>1006</v>
      </c>
      <c r="K217" s="101">
        <f> - 13351674 + 6645 *2031</f>
        <v>144321</v>
      </c>
      <c r="L217" s="221" t="s">
        <v>1007</v>
      </c>
      <c r="M217" s="100">
        <f> -12716737 + 6115 *2031+ 83.6 *5344</f>
        <v>149586.4</v>
      </c>
      <c r="N217" s="223"/>
      <c r="O217" s="157">
        <v>90000.0</v>
      </c>
      <c r="P217" s="56">
        <v>75227.59999999998</v>
      </c>
      <c r="Q217" s="231">
        <v>0.16413777777777805</v>
      </c>
      <c r="R217" s="101">
        <f t="shared" si="30"/>
        <v>13896.91564</v>
      </c>
    </row>
    <row r="218">
      <c r="B218" s="120" t="s">
        <v>398</v>
      </c>
      <c r="C218" s="50"/>
      <c r="D218" s="60" t="s">
        <v>129</v>
      </c>
      <c r="E218" s="121">
        <v>6940.0</v>
      </c>
      <c r="F218" s="221" t="s">
        <v>1008</v>
      </c>
      <c r="G218" s="101">
        <f>- 22958 + 14.7 *2031</f>
        <v>6897.7</v>
      </c>
      <c r="H218" s="222">
        <f t="shared" si="29"/>
        <v>0.006095100865</v>
      </c>
      <c r="I218" s="223"/>
      <c r="J218" s="224" t="s">
        <v>1009</v>
      </c>
      <c r="K218" s="101">
        <f>- 7615646 + 3793 *2031</f>
        <v>87937</v>
      </c>
      <c r="L218" s="221" t="s">
        <v>1010</v>
      </c>
      <c r="M218" s="100">
        <f>-7586377 + 3775 *2031+ 1.2 *6940</f>
        <v>88976</v>
      </c>
      <c r="N218" s="223"/>
      <c r="O218" s="157">
        <v>49000.0</v>
      </c>
      <c r="P218" s="56">
        <v>51074.8</v>
      </c>
      <c r="Q218" s="160">
        <v>0.0423428571428572</v>
      </c>
      <c r="R218" s="101">
        <f t="shared" si="30"/>
        <v>8266.072092</v>
      </c>
    </row>
    <row r="219">
      <c r="B219" s="140"/>
      <c r="C219" s="141"/>
      <c r="D219" s="142"/>
      <c r="E219" s="143"/>
      <c r="F219" s="143"/>
      <c r="G219" s="173"/>
      <c r="H219" s="173"/>
      <c r="I219" s="173"/>
      <c r="J219" s="241"/>
      <c r="K219" s="143"/>
      <c r="L219" s="242"/>
      <c r="M219" s="243"/>
      <c r="N219" s="223"/>
      <c r="O219" s="174"/>
      <c r="P219" s="243"/>
      <c r="Q219" s="174"/>
      <c r="R219" s="243"/>
      <c r="S219" s="244"/>
      <c r="T219" s="244"/>
    </row>
    <row r="220">
      <c r="B220" s="144"/>
      <c r="C220" s="75" t="s">
        <v>367</v>
      </c>
      <c r="D220" s="124"/>
      <c r="E220" s="20">
        <v>63516.0</v>
      </c>
      <c r="F220" s="221" t="s">
        <v>1011</v>
      </c>
      <c r="G220" s="101">
        <f>- 4777425 + 2383*2031</f>
        <v>62448</v>
      </c>
      <c r="H220" s="222">
        <f t="shared" ref="H220:H268" si="31">ABS(E220-G220)/E220</f>
        <v>0.01681466087</v>
      </c>
      <c r="I220" s="223"/>
      <c r="J220" s="224" t="s">
        <v>1012</v>
      </c>
      <c r="K220" s="101">
        <f t="shared" ref="K220:K221" si="32">- 1650361 + 821.9 *2031</f>
        <v>18917.9</v>
      </c>
      <c r="L220" s="221" t="s">
        <v>1013</v>
      </c>
      <c r="M220" s="100">
        <f>-684536 + 340 *2031 + 0.2034 *63516</f>
        <v>18923.1544</v>
      </c>
      <c r="N220" s="223"/>
      <c r="O220" s="20">
        <v>10000.0</v>
      </c>
      <c r="P220" s="56">
        <v>9728.288400000001</v>
      </c>
      <c r="Q220" s="160">
        <v>0.02717115999999987</v>
      </c>
      <c r="R220" s="101">
        <f t="shared" ref="R220:R268" si="33">M220/10.764</f>
        <v>1758.003939</v>
      </c>
    </row>
    <row r="221">
      <c r="B221" s="144"/>
      <c r="C221" s="75" t="s">
        <v>369</v>
      </c>
      <c r="D221" s="47"/>
      <c r="E221" s="20">
        <v>109036.0</v>
      </c>
      <c r="F221" s="221" t="s">
        <v>1014</v>
      </c>
      <c r="G221" s="101">
        <f>- 4417507 + 2229 *2031</f>
        <v>109592</v>
      </c>
      <c r="H221" s="222">
        <f t="shared" si="31"/>
        <v>0.005099233281</v>
      </c>
      <c r="I221" s="223"/>
      <c r="J221" s="224" t="s">
        <v>1015</v>
      </c>
      <c r="K221" s="101">
        <f t="shared" si="32"/>
        <v>18917.9</v>
      </c>
      <c r="L221" s="221" t="s">
        <v>1016</v>
      </c>
      <c r="M221" s="100">
        <f>-867878 + 427*2031+ 0.1784*109036 </f>
        <v>18811.0224</v>
      </c>
      <c r="N221" s="223"/>
      <c r="O221" s="20">
        <v>10000.0</v>
      </c>
      <c r="P221" s="56">
        <v>10123.3032</v>
      </c>
      <c r="Q221" s="160">
        <v>0.012330320000000028</v>
      </c>
      <c r="R221" s="101">
        <f t="shared" si="33"/>
        <v>1747.586622</v>
      </c>
    </row>
    <row r="222">
      <c r="B222" s="144"/>
      <c r="C222" s="75" t="s">
        <v>344</v>
      </c>
      <c r="D222" s="47"/>
      <c r="E222" s="57">
        <v>88577.0</v>
      </c>
      <c r="F222" s="221" t="s">
        <v>1017</v>
      </c>
      <c r="G222" s="101">
        <f>- 1147522 + 609 *2031</f>
        <v>89357</v>
      </c>
      <c r="H222" s="222">
        <f t="shared" si="31"/>
        <v>0.008805897694</v>
      </c>
      <c r="I222" s="223"/>
      <c r="J222" s="224" t="s">
        <v>848</v>
      </c>
      <c r="K222" s="101">
        <f t="shared" ref="K222:K224" si="34">- 4358425 + 2173 *2031</f>
        <v>54938</v>
      </c>
      <c r="L222" s="221" t="s">
        <v>1018</v>
      </c>
      <c r="M222" s="100">
        <f>-5005596 + 2514 *2031 - 0.503 *88577</f>
        <v>55783.769</v>
      </c>
      <c r="N222" s="245"/>
      <c r="O222" s="86">
        <v>30000.0</v>
      </c>
      <c r="P222" s="56">
        <v>30248.913999999997</v>
      </c>
      <c r="Q222" s="160">
        <v>0.008297133333333234</v>
      </c>
      <c r="R222" s="101">
        <f t="shared" si="33"/>
        <v>5182.438592</v>
      </c>
    </row>
    <row r="223">
      <c r="B223" s="144"/>
      <c r="C223" s="75" t="s">
        <v>352</v>
      </c>
      <c r="D223" s="47"/>
      <c r="E223" s="145">
        <v>154512.0</v>
      </c>
      <c r="F223" s="221" t="s">
        <v>1019</v>
      </c>
      <c r="G223" s="101">
        <f>- 6349051 + 3202 *2031</f>
        <v>154211</v>
      </c>
      <c r="H223" s="222">
        <f t="shared" si="31"/>
        <v>0.001948068758</v>
      </c>
      <c r="I223" s="223"/>
      <c r="J223" s="224" t="s">
        <v>848</v>
      </c>
      <c r="K223" s="101">
        <f t="shared" si="34"/>
        <v>54938</v>
      </c>
      <c r="L223" s="221" t="s">
        <v>1020</v>
      </c>
      <c r="M223" s="100">
        <f>-5561453 + 2779 *2031- 0.178 *154512</f>
        <v>55192.864</v>
      </c>
      <c r="N223" s="223"/>
      <c r="O223" s="86">
        <v>30000.0</v>
      </c>
      <c r="P223" s="56">
        <v>31706.904000000002</v>
      </c>
      <c r="Q223" s="160">
        <v>0.056896800000000074</v>
      </c>
      <c r="R223" s="101">
        <f t="shared" si="33"/>
        <v>5127.542178</v>
      </c>
    </row>
    <row r="224">
      <c r="B224" s="144"/>
      <c r="C224" s="79" t="s">
        <v>351</v>
      </c>
      <c r="D224" s="47"/>
      <c r="E224" s="145">
        <v>139759.0</v>
      </c>
      <c r="F224" s="221" t="s">
        <v>1021</v>
      </c>
      <c r="G224" s="101">
        <f> - 6338704 + 3189 *2031</f>
        <v>138155</v>
      </c>
      <c r="H224" s="222">
        <f t="shared" si="31"/>
        <v>0.01147689952</v>
      </c>
      <c r="I224" s="223"/>
      <c r="J224" s="224" t="s">
        <v>848</v>
      </c>
      <c r="K224" s="101">
        <f t="shared" si="34"/>
        <v>54938</v>
      </c>
      <c r="L224" s="221" t="s">
        <v>1022</v>
      </c>
      <c r="M224" s="100">
        <f>-6793912 + 3398 *2031 - 0.373 *139759</f>
        <v>55295.893</v>
      </c>
      <c r="N224" s="223"/>
      <c r="O224" s="86">
        <v>30000.0</v>
      </c>
      <c r="P224" s="56">
        <v>32048.222</v>
      </c>
      <c r="Q224" s="160">
        <v>0.06827406666666672</v>
      </c>
      <c r="R224" s="101">
        <f t="shared" si="33"/>
        <v>5137.113805</v>
      </c>
    </row>
    <row r="225">
      <c r="B225" s="144"/>
      <c r="C225" s="79" t="s">
        <v>345</v>
      </c>
      <c r="D225" s="47"/>
      <c r="E225" s="145">
        <v>155331.0</v>
      </c>
      <c r="F225" s="221" t="s">
        <v>1023</v>
      </c>
      <c r="G225" s="101">
        <f>- 10688893 + 5340 *2031</f>
        <v>156647</v>
      </c>
      <c r="H225" s="222">
        <f t="shared" si="31"/>
        <v>0.00847223027</v>
      </c>
      <c r="I225" s="223"/>
      <c r="J225" s="224" t="s">
        <v>842</v>
      </c>
      <c r="K225" s="101">
        <f t="shared" ref="K225:K227" si="35">- 4111134 + 2050 *2031</f>
        <v>52416</v>
      </c>
      <c r="L225" s="221" t="s">
        <v>1024</v>
      </c>
      <c r="M225" s="100">
        <f>-2270720 + 1131 *2031+ 0.1725 *155331</f>
        <v>53135.5975</v>
      </c>
      <c r="N225" s="223"/>
      <c r="O225" s="162">
        <v>31560.0</v>
      </c>
      <c r="P225" s="56">
        <v>32808.332500000004</v>
      </c>
      <c r="Q225" s="160">
        <v>0.039554261723701016</v>
      </c>
      <c r="R225" s="101">
        <f t="shared" si="33"/>
        <v>4936.417456</v>
      </c>
    </row>
    <row r="226">
      <c r="B226" s="144"/>
      <c r="C226" s="75" t="s">
        <v>355</v>
      </c>
      <c r="D226" s="47"/>
      <c r="E226" s="57">
        <v>141942.0</v>
      </c>
      <c r="F226" s="221" t="s">
        <v>1025</v>
      </c>
      <c r="G226" s="101">
        <f>- 10013826 + 5005 *2031</f>
        <v>151329</v>
      </c>
      <c r="H226" s="222">
        <f t="shared" si="31"/>
        <v>0.06613264573</v>
      </c>
      <c r="I226" s="223"/>
      <c r="J226" s="224" t="s">
        <v>842</v>
      </c>
      <c r="K226" s="101">
        <f t="shared" si="35"/>
        <v>52416</v>
      </c>
      <c r="L226" s="221" t="s">
        <v>1026</v>
      </c>
      <c r="M226" s="100">
        <f> -4325866 + 2157*2031 - 0.0211 *141942</f>
        <v>52006.0238</v>
      </c>
      <c r="N226" s="223"/>
      <c r="O226" s="162">
        <v>31560.0</v>
      </c>
      <c r="P226" s="56">
        <v>30798.0998</v>
      </c>
      <c r="Q226" s="160">
        <v>0.024141324461343473</v>
      </c>
      <c r="R226" s="101">
        <f t="shared" si="33"/>
        <v>4831.477499</v>
      </c>
    </row>
    <row r="227">
      <c r="B227" s="144"/>
      <c r="C227" s="75" t="s">
        <v>350</v>
      </c>
      <c r="D227" s="47"/>
      <c r="E227" s="20">
        <v>123114.0</v>
      </c>
      <c r="F227" s="221" t="s">
        <v>1027</v>
      </c>
      <c r="G227" s="101">
        <f>- 10764933 + 5363 *2031</f>
        <v>127320</v>
      </c>
      <c r="H227" s="222">
        <f t="shared" si="31"/>
        <v>0.03416345826</v>
      </c>
      <c r="I227" s="223"/>
      <c r="J227" s="224" t="s">
        <v>842</v>
      </c>
      <c r="K227" s="101">
        <f t="shared" si="35"/>
        <v>52416</v>
      </c>
      <c r="L227" s="221" t="s">
        <v>1028</v>
      </c>
      <c r="M227" s="100">
        <f>-4447561 + 2218*2031- 0.0309 *123114</f>
        <v>53392.7774</v>
      </c>
      <c r="N227" s="223"/>
      <c r="O227" s="162">
        <v>31560.0</v>
      </c>
      <c r="P227" s="56">
        <v>32063.2381</v>
      </c>
      <c r="Q227" s="160">
        <v>0.01594544043092518</v>
      </c>
      <c r="R227" s="101">
        <f t="shared" si="33"/>
        <v>4960.310052</v>
      </c>
    </row>
    <row r="228">
      <c r="B228" s="144"/>
      <c r="C228" s="75" t="s">
        <v>339</v>
      </c>
      <c r="D228" s="47"/>
      <c r="E228" s="20">
        <v>65282.0</v>
      </c>
      <c r="F228" s="221" t="s">
        <v>1029</v>
      </c>
      <c r="G228" s="101">
        <f> - 5439159 + 2712 *2031</f>
        <v>68913</v>
      </c>
      <c r="H228" s="222">
        <f t="shared" si="31"/>
        <v>0.05562023222</v>
      </c>
      <c r="I228" s="223"/>
      <c r="J228" s="224" t="s">
        <v>1030</v>
      </c>
      <c r="K228" s="101">
        <f t="shared" ref="K228:K230" si="36">- 5491982 + 2733 *2031</f>
        <v>58741</v>
      </c>
      <c r="L228" s="221" t="s">
        <v>1031</v>
      </c>
      <c r="M228" s="100">
        <f>-6655911 + 3313 *2031- 0.205 *65282</f>
        <v>59409.19</v>
      </c>
      <c r="N228" s="223"/>
      <c r="O228" s="175">
        <v>31000.0</v>
      </c>
      <c r="P228" s="56">
        <v>29242.67</v>
      </c>
      <c r="Q228" s="160">
        <v>0.05668806451612909</v>
      </c>
      <c r="R228" s="101">
        <f t="shared" si="33"/>
        <v>5519.248421</v>
      </c>
    </row>
    <row r="229">
      <c r="B229" s="144"/>
      <c r="C229" s="146" t="s">
        <v>336</v>
      </c>
      <c r="D229" s="47"/>
      <c r="E229" s="57">
        <v>123268.0</v>
      </c>
      <c r="F229" s="221" t="s">
        <v>1032</v>
      </c>
      <c r="G229" s="101">
        <f>- 10371063 + 5172 *2031</f>
        <v>133269</v>
      </c>
      <c r="H229" s="222">
        <f t="shared" si="31"/>
        <v>0.08113216731</v>
      </c>
      <c r="I229" s="223"/>
      <c r="J229" s="224" t="s">
        <v>1030</v>
      </c>
      <c r="K229" s="101">
        <f t="shared" si="36"/>
        <v>58741</v>
      </c>
      <c r="L229" s="221" t="s">
        <v>1033</v>
      </c>
      <c r="M229" s="100">
        <f> -6275886 + 3124*2031- 0.071 *123268</f>
        <v>60205.972</v>
      </c>
      <c r="N229" s="223"/>
      <c r="O229" s="175">
        <v>31000.0</v>
      </c>
      <c r="P229" s="56">
        <v>30140.738</v>
      </c>
      <c r="Q229" s="160">
        <v>0.027718129032258027</v>
      </c>
      <c r="R229" s="101">
        <f t="shared" si="33"/>
        <v>5593.271275</v>
      </c>
    </row>
    <row r="230">
      <c r="B230" s="144"/>
      <c r="C230" s="146" t="s">
        <v>340</v>
      </c>
      <c r="D230" s="47"/>
      <c r="E230" s="20">
        <v>17130.0</v>
      </c>
      <c r="F230" s="221" t="s">
        <v>1034</v>
      </c>
      <c r="G230" s="101">
        <f>- 1261213 + 629.7 *2031</f>
        <v>17707.7</v>
      </c>
      <c r="H230" s="222">
        <f t="shared" si="31"/>
        <v>0.03372446001</v>
      </c>
      <c r="I230" s="223"/>
      <c r="J230" s="224" t="s">
        <v>1030</v>
      </c>
      <c r="K230" s="101">
        <f t="shared" si="36"/>
        <v>58741</v>
      </c>
      <c r="L230" s="221" t="s">
        <v>1035</v>
      </c>
      <c r="M230" s="100">
        <f> -5546451 + 2760 *2031- 0.006 *17130</f>
        <v>59006.22</v>
      </c>
      <c r="N230" s="223"/>
      <c r="O230" s="175">
        <v>31000.0</v>
      </c>
      <c r="P230" s="56">
        <v>31405.5</v>
      </c>
      <c r="Q230" s="160">
        <v>0.013080645161290323</v>
      </c>
      <c r="R230" s="101">
        <f t="shared" si="33"/>
        <v>5481.811594</v>
      </c>
    </row>
    <row r="231">
      <c r="B231" s="144"/>
      <c r="C231" s="75" t="s">
        <v>370</v>
      </c>
      <c r="D231" s="47"/>
      <c r="E231" s="20">
        <v>107766.0</v>
      </c>
      <c r="F231" s="221" t="s">
        <v>1036</v>
      </c>
      <c r="G231" s="101">
        <f>- 10114580 + 5027*2031</f>
        <v>95257</v>
      </c>
      <c r="H231" s="222">
        <f t="shared" si="31"/>
        <v>0.1160755711</v>
      </c>
      <c r="I231" s="223"/>
      <c r="J231" s="224" t="s">
        <v>1037</v>
      </c>
      <c r="K231" s="101">
        <f t="shared" ref="K231:K232" si="37">- 1451680 + 723.5 *2031</f>
        <v>17748.5</v>
      </c>
      <c r="L231" s="221" t="s">
        <v>1038</v>
      </c>
      <c r="M231" s="100">
        <f> -1461742 + 729*2031 - 0.00013  *1077662</f>
        <v>18716.90394</v>
      </c>
      <c r="N231" s="223"/>
      <c r="O231" s="20">
        <v>9700.0</v>
      </c>
      <c r="P231" s="56">
        <v>11563.27641</v>
      </c>
      <c r="Q231" s="231">
        <v>0.19209035154639179</v>
      </c>
      <c r="R231" s="101">
        <f t="shared" si="33"/>
        <v>1738.842804</v>
      </c>
    </row>
    <row r="232">
      <c r="B232" s="144"/>
      <c r="C232" s="75" t="s">
        <v>368</v>
      </c>
      <c r="D232" s="47"/>
      <c r="E232" s="20">
        <v>85607.0</v>
      </c>
      <c r="F232" s="221" t="s">
        <v>1039</v>
      </c>
      <c r="G232" s="101">
        <f>- 7268131 + 3616 *2031</f>
        <v>75965</v>
      </c>
      <c r="H232" s="222">
        <f t="shared" si="31"/>
        <v>0.1126309764</v>
      </c>
      <c r="I232" s="223"/>
      <c r="J232" s="224" t="s">
        <v>1037</v>
      </c>
      <c r="K232" s="101">
        <f t="shared" si="37"/>
        <v>17748.5</v>
      </c>
      <c r="L232" s="221" t="s">
        <v>1040</v>
      </c>
      <c r="M232" s="100">
        <f> -1632742 + 814 *2031 - 0.0254  *85607</f>
        <v>18317.5822</v>
      </c>
      <c r="N232" s="223"/>
      <c r="O232" s="20">
        <v>9700.0</v>
      </c>
      <c r="P232" s="56">
        <v>11720.429</v>
      </c>
      <c r="Q232" s="231">
        <v>0.2082916494845361</v>
      </c>
      <c r="R232" s="101">
        <f t="shared" si="33"/>
        <v>1701.744909</v>
      </c>
    </row>
    <row r="233">
      <c r="B233" s="144"/>
      <c r="C233" s="75" t="s">
        <v>359</v>
      </c>
      <c r="D233" s="47"/>
      <c r="E233" s="57">
        <v>66125.0</v>
      </c>
      <c r="F233" s="221" t="s">
        <v>1041</v>
      </c>
      <c r="G233" s="101">
        <f>- 4821202 + 2404 *2031</f>
        <v>61322</v>
      </c>
      <c r="H233" s="222">
        <f t="shared" si="31"/>
        <v>0.07263516068</v>
      </c>
      <c r="I233" s="223"/>
      <c r="J233" s="224" t="s">
        <v>1042</v>
      </c>
      <c r="K233" s="101">
        <f t="shared" ref="K233:K235" si="38">- 2360213 + 1177 *2031</f>
        <v>30274</v>
      </c>
      <c r="L233" s="221" t="s">
        <v>1043</v>
      </c>
      <c r="M233" s="100">
        <f> -2489289 + 1241*2031 - 0.0183  *66125</f>
        <v>29971.9125</v>
      </c>
      <c r="N233" s="223"/>
      <c r="O233" s="20">
        <v>18000.0</v>
      </c>
      <c r="P233" s="56">
        <v>18212.4958</v>
      </c>
      <c r="Q233" s="160">
        <v>0.011805322222222256</v>
      </c>
      <c r="R233" s="101">
        <f t="shared" si="33"/>
        <v>2784.458612</v>
      </c>
    </row>
    <row r="234">
      <c r="B234" s="144"/>
      <c r="C234" s="75" t="s">
        <v>356</v>
      </c>
      <c r="D234" s="47"/>
      <c r="E234" s="20">
        <v>138741.0</v>
      </c>
      <c r="F234" s="221" t="s">
        <v>1044</v>
      </c>
      <c r="G234" s="101">
        <f>- 10062123 + 5015 *2031</f>
        <v>123342</v>
      </c>
      <c r="H234" s="222">
        <f t="shared" si="31"/>
        <v>0.1109909832</v>
      </c>
      <c r="I234" s="223"/>
      <c r="J234" s="224" t="s">
        <v>1042</v>
      </c>
      <c r="K234" s="101">
        <f t="shared" si="38"/>
        <v>30274</v>
      </c>
      <c r="L234" s="221" t="s">
        <v>1045</v>
      </c>
      <c r="M234" s="100">
        <f> -2370160 + 1182 *2031+ 0.0031  *138741</f>
        <v>30912.0971</v>
      </c>
      <c r="N234" s="223"/>
      <c r="O234" s="20">
        <v>18000.0</v>
      </c>
      <c r="P234" s="56">
        <v>18832.531</v>
      </c>
      <c r="Q234" s="160">
        <v>0.046251722222222166</v>
      </c>
      <c r="R234" s="101">
        <f t="shared" si="33"/>
        <v>2871.803893</v>
      </c>
    </row>
    <row r="235">
      <c r="B235" s="144"/>
      <c r="C235" s="75" t="s">
        <v>360</v>
      </c>
      <c r="D235" s="47"/>
      <c r="E235" s="20">
        <v>135270.0</v>
      </c>
      <c r="F235" s="221" t="s">
        <v>1046</v>
      </c>
      <c r="G235" s="101">
        <f>- 1644276 + 861 *2031</f>
        <v>104415</v>
      </c>
      <c r="H235" s="222">
        <f t="shared" si="31"/>
        <v>0.2280993568</v>
      </c>
      <c r="I235" s="223"/>
      <c r="J235" s="224" t="s">
        <v>1042</v>
      </c>
      <c r="K235" s="101">
        <f t="shared" si="38"/>
        <v>30274</v>
      </c>
      <c r="L235" s="221" t="s">
        <v>1047</v>
      </c>
      <c r="M235" s="100">
        <f>-2415261 + 1204.5 *2031- 0.00849  *135270</f>
        <v>29930.0577</v>
      </c>
      <c r="N235" s="223"/>
      <c r="O235" s="20">
        <v>18000.0</v>
      </c>
      <c r="P235" s="56">
        <v>18365.32851</v>
      </c>
      <c r="Q235" s="160">
        <v>0.0202960283333333</v>
      </c>
      <c r="R235" s="101">
        <f t="shared" si="33"/>
        <v>2780.570206</v>
      </c>
    </row>
    <row r="236">
      <c r="B236" s="148"/>
      <c r="C236" s="65" t="s">
        <v>361</v>
      </c>
      <c r="D236" s="47"/>
      <c r="E236" s="57">
        <v>199363.0</v>
      </c>
      <c r="F236" s="221" t="s">
        <v>1048</v>
      </c>
      <c r="G236" s="101">
        <f> - 14402159 + 7181 *2031</f>
        <v>182452</v>
      </c>
      <c r="H236" s="222">
        <f t="shared" si="31"/>
        <v>0.08482516816</v>
      </c>
      <c r="I236" s="223"/>
      <c r="J236" s="224" t="s">
        <v>1049</v>
      </c>
      <c r="K236" s="101">
        <f t="shared" ref="K236:K237" si="39">- 1899217 + 949.2 *2031</f>
        <v>28608.2</v>
      </c>
      <c r="L236" s="221" t="s">
        <v>1050</v>
      </c>
      <c r="M236" s="100">
        <f>-1937955 + 968 *2031- 0.002  *199363</f>
        <v>27654.274</v>
      </c>
      <c r="N236" s="223"/>
      <c r="O236" s="20">
        <v>18200.0</v>
      </c>
      <c r="P236" s="56">
        <v>18202.166</v>
      </c>
      <c r="Q236" s="160">
        <v>1.1901098901104818E-4</v>
      </c>
      <c r="R236" s="101">
        <f t="shared" si="33"/>
        <v>2569.144742</v>
      </c>
    </row>
    <row r="237">
      <c r="B237" s="148"/>
      <c r="C237" s="65" t="s">
        <v>357</v>
      </c>
      <c r="D237" s="47"/>
      <c r="E237" s="145">
        <v>216626.0</v>
      </c>
      <c r="F237" s="221" t="s">
        <v>1051</v>
      </c>
      <c r="G237" s="101">
        <f>- 18761094 + 9334 *2031</f>
        <v>196260</v>
      </c>
      <c r="H237" s="222">
        <f t="shared" si="31"/>
        <v>0.09401456889</v>
      </c>
      <c r="I237" s="223"/>
      <c r="J237" s="224" t="s">
        <v>1049</v>
      </c>
      <c r="K237" s="101">
        <f t="shared" si="39"/>
        <v>28608.2</v>
      </c>
      <c r="L237" s="221" t="s">
        <v>1052</v>
      </c>
      <c r="M237" s="100">
        <f>-2157535 + 1078 *2031 - 0.0133  *216626</f>
        <v>29001.8742</v>
      </c>
      <c r="N237" s="223"/>
      <c r="O237" s="20">
        <v>18200.0</v>
      </c>
      <c r="P237" s="56">
        <v>20055.1994</v>
      </c>
      <c r="Q237" s="160">
        <v>0.10193403296703304</v>
      </c>
      <c r="R237" s="101">
        <f t="shared" si="33"/>
        <v>2694.339855</v>
      </c>
    </row>
    <row r="238">
      <c r="B238" s="148"/>
      <c r="C238" s="65" t="s">
        <v>337</v>
      </c>
      <c r="D238" s="47"/>
      <c r="E238" s="145">
        <v>135333.0</v>
      </c>
      <c r="F238" s="221" t="s">
        <v>1053</v>
      </c>
      <c r="G238" s="101">
        <f>- 10907056 + 5441 *2031</f>
        <v>143615</v>
      </c>
      <c r="H238" s="222">
        <f t="shared" si="31"/>
        <v>0.06119719507</v>
      </c>
      <c r="I238" s="223"/>
      <c r="J238" s="224" t="s">
        <v>1054</v>
      </c>
      <c r="K238" s="101">
        <f t="shared" ref="K238:K241" si="40">- 4553097 + 2271 *2031</f>
        <v>59304</v>
      </c>
      <c r="L238" s="221" t="s">
        <v>1055</v>
      </c>
      <c r="M238" s="100">
        <f>-5582345 + 2784 *2031- 0.0906  *135333</f>
        <v>59697.8302</v>
      </c>
      <c r="N238" s="223"/>
      <c r="O238" s="86">
        <v>35600.0</v>
      </c>
      <c r="P238" s="56">
        <v>34002.4228</v>
      </c>
      <c r="Q238" s="160">
        <v>0.04487576404494381</v>
      </c>
      <c r="R238" s="101">
        <f t="shared" si="33"/>
        <v>5546.06375</v>
      </c>
    </row>
    <row r="239">
      <c r="B239" s="148"/>
      <c r="C239" s="65" t="s">
        <v>341</v>
      </c>
      <c r="D239" s="47"/>
      <c r="E239" s="20">
        <v>134333.0</v>
      </c>
      <c r="F239" s="221" t="s">
        <v>1056</v>
      </c>
      <c r="G239" s="101">
        <f>- 13230521 + 6580 *2031</f>
        <v>133459</v>
      </c>
      <c r="H239" s="222">
        <f t="shared" si="31"/>
        <v>0.006506219618</v>
      </c>
      <c r="I239" s="189"/>
      <c r="J239" s="120" t="s">
        <v>1054</v>
      </c>
      <c r="K239" s="101">
        <f t="shared" si="40"/>
        <v>59304</v>
      </c>
      <c r="L239" s="221" t="s">
        <v>1057</v>
      </c>
      <c r="M239" s="100">
        <f> -4849606 + 2418 *2031- 0.0193  *134333</f>
        <v>58759.3731</v>
      </c>
      <c r="N239" s="223"/>
      <c r="O239" s="86">
        <v>35600.0</v>
      </c>
      <c r="P239" s="56">
        <v>35396.2456</v>
      </c>
      <c r="Q239" s="160">
        <v>0.005723438202247135</v>
      </c>
      <c r="R239" s="101">
        <f t="shared" si="33"/>
        <v>5458.878958</v>
      </c>
    </row>
    <row r="240">
      <c r="B240" s="148"/>
      <c r="C240" s="65" t="s">
        <v>338</v>
      </c>
      <c r="D240" s="47"/>
      <c r="E240" s="145">
        <v>169606.0</v>
      </c>
      <c r="F240" s="221" t="s">
        <v>1058</v>
      </c>
      <c r="G240" s="101">
        <f>- 10808603 + 5392 *2031</f>
        <v>142549</v>
      </c>
      <c r="H240" s="222">
        <f t="shared" si="31"/>
        <v>0.1595285544</v>
      </c>
      <c r="I240" s="189"/>
      <c r="J240" s="120" t="s">
        <v>1054</v>
      </c>
      <c r="K240" s="101">
        <f t="shared" si="40"/>
        <v>59304</v>
      </c>
      <c r="L240" s="221" t="s">
        <v>1059</v>
      </c>
      <c r="M240" s="100">
        <f> -4879213 + 2433 *2031 - 0.0264  *169606</f>
        <v>57732.4016</v>
      </c>
      <c r="N240" s="223"/>
      <c r="O240" s="86">
        <v>35600.0</v>
      </c>
      <c r="P240" s="56">
        <v>35947.7312</v>
      </c>
      <c r="Q240" s="160">
        <v>0.009767730337078707</v>
      </c>
      <c r="R240" s="101">
        <f t="shared" si="33"/>
        <v>5363.470977</v>
      </c>
    </row>
    <row r="241">
      <c r="B241" s="148"/>
      <c r="C241" s="65" t="s">
        <v>334</v>
      </c>
      <c r="D241" s="47"/>
      <c r="E241" s="145">
        <v>73960.0</v>
      </c>
      <c r="F241" s="221" t="s">
        <v>1060</v>
      </c>
      <c r="G241" s="101">
        <f>- 3360147 + 1692 *2031</f>
        <v>76305</v>
      </c>
      <c r="H241" s="222">
        <f t="shared" si="31"/>
        <v>0.03170632774</v>
      </c>
      <c r="I241" s="189"/>
      <c r="J241" s="120" t="s">
        <v>1054</v>
      </c>
      <c r="K241" s="101">
        <f t="shared" si="40"/>
        <v>59304</v>
      </c>
      <c r="L241" s="221" t="s">
        <v>1061</v>
      </c>
      <c r="M241" s="100">
        <f>-5450798 + 2723*2031- 0.255  *73960</f>
        <v>60755.2</v>
      </c>
      <c r="N241" s="223"/>
      <c r="O241" s="86">
        <v>35600.0</v>
      </c>
      <c r="P241" s="56">
        <v>35486.66</v>
      </c>
      <c r="Q241" s="160">
        <v>0.0031837078651684413</v>
      </c>
      <c r="R241" s="101">
        <f t="shared" si="33"/>
        <v>5644.295801</v>
      </c>
    </row>
    <row r="242">
      <c r="B242" s="148"/>
      <c r="C242" s="65" t="s">
        <v>310</v>
      </c>
      <c r="D242" s="47"/>
      <c r="E242" s="20">
        <v>3035.0</v>
      </c>
      <c r="F242" s="221" t="s">
        <v>1062</v>
      </c>
      <c r="G242" s="101">
        <f> - 137490+ 69.03 * 2031</f>
        <v>2709.93</v>
      </c>
      <c r="H242" s="222">
        <f t="shared" si="31"/>
        <v>0.107107084</v>
      </c>
      <c r="I242" s="189"/>
      <c r="J242" s="120" t="s">
        <v>1063</v>
      </c>
      <c r="K242" s="101">
        <f t="shared" ref="K242:K245" si="41"> -7100723 + 3540 *2031</f>
        <v>89017</v>
      </c>
      <c r="L242" s="221" t="s">
        <v>1064</v>
      </c>
      <c r="M242" s="100">
        <f> -7524716 + 3753 *2031 -3.46 *3035</f>
        <v>87125.9</v>
      </c>
      <c r="N242" s="223"/>
      <c r="O242" s="57">
        <v>51956.0</v>
      </c>
      <c r="P242" s="56">
        <v>53495.32</v>
      </c>
      <c r="Q242" s="160">
        <v>0.029627377011317263</v>
      </c>
      <c r="R242" s="101">
        <f t="shared" si="33"/>
        <v>8094.193608</v>
      </c>
    </row>
    <row r="243">
      <c r="B243" s="148"/>
      <c r="C243" s="65" t="s">
        <v>307</v>
      </c>
      <c r="D243" s="47"/>
      <c r="E243" s="57">
        <v>86617.0</v>
      </c>
      <c r="F243" s="221" t="s">
        <v>1065</v>
      </c>
      <c r="G243" s="101">
        <f> - 1476355+ 769.2 * 2031</f>
        <v>85890.2</v>
      </c>
      <c r="H243" s="222">
        <f t="shared" si="31"/>
        <v>0.008390962513</v>
      </c>
      <c r="I243" s="189"/>
      <c r="J243" s="120" t="s">
        <v>1063</v>
      </c>
      <c r="K243" s="101">
        <f t="shared" si="41"/>
        <v>89017</v>
      </c>
      <c r="L243" s="221" t="s">
        <v>1066</v>
      </c>
      <c r="M243" s="100">
        <f> -6752530 + 3360 *2031 +0.201 *86617</f>
        <v>89040.017</v>
      </c>
      <c r="N243" s="223"/>
      <c r="O243" s="57">
        <v>51956.0</v>
      </c>
      <c r="P243" s="56">
        <v>53830.208</v>
      </c>
      <c r="Q243" s="160">
        <v>0.03607298483332048</v>
      </c>
      <c r="R243" s="101">
        <f t="shared" si="33"/>
        <v>8272.019417</v>
      </c>
    </row>
    <row r="244">
      <c r="B244" s="148"/>
      <c r="C244" s="65" t="s">
        <v>306</v>
      </c>
      <c r="D244" s="47"/>
      <c r="E244" s="122">
        <v>139248.0</v>
      </c>
      <c r="F244" s="221" t="s">
        <v>1067</v>
      </c>
      <c r="G244" s="101">
        <f> - 5506613+ 2783 * 2031</f>
        <v>145660</v>
      </c>
      <c r="H244" s="222">
        <f t="shared" si="31"/>
        <v>0.04604734</v>
      </c>
      <c r="I244" s="189"/>
      <c r="J244" s="120" t="s">
        <v>1063</v>
      </c>
      <c r="K244" s="101">
        <f t="shared" si="41"/>
        <v>89017</v>
      </c>
      <c r="L244" s="221" t="s">
        <v>1068</v>
      </c>
      <c r="M244" s="100">
        <f> -6567126 + 3271 *2031 +0.088 *139248</f>
        <v>88528.824</v>
      </c>
      <c r="N244" s="223"/>
      <c r="O244" s="57">
        <v>51956.0</v>
      </c>
      <c r="P244" s="56">
        <v>55080.768</v>
      </c>
      <c r="Q244" s="231">
        <v>0.06014258218492564</v>
      </c>
      <c r="R244" s="101">
        <f t="shared" si="33"/>
        <v>8224.528428</v>
      </c>
    </row>
    <row r="245">
      <c r="B245" s="148"/>
      <c r="C245" s="65" t="s">
        <v>309</v>
      </c>
      <c r="D245" s="47"/>
      <c r="E245" s="57">
        <v>118671.0</v>
      </c>
      <c r="F245" s="221" t="s">
        <v>1069</v>
      </c>
      <c r="G245" s="101">
        <f> - 4585922+ 2316 * 2031</f>
        <v>117874</v>
      </c>
      <c r="H245" s="222">
        <f t="shared" si="31"/>
        <v>0.006716046886</v>
      </c>
      <c r="I245" s="189"/>
      <c r="J245" s="120" t="s">
        <v>1063</v>
      </c>
      <c r="K245" s="101">
        <f t="shared" si="41"/>
        <v>89017</v>
      </c>
      <c r="L245" s="221" t="s">
        <v>1070</v>
      </c>
      <c r="M245" s="100">
        <f> -5622925 + 2794 *2031 +0.311 *118671</f>
        <v>88595.681</v>
      </c>
      <c r="N245" s="223"/>
      <c r="O245" s="57">
        <v>51956.0</v>
      </c>
      <c r="P245" s="56">
        <v>53274.718</v>
      </c>
      <c r="Q245" s="231">
        <v>0.0253814381399646</v>
      </c>
      <c r="R245" s="101">
        <f t="shared" si="33"/>
        <v>8230.739595</v>
      </c>
    </row>
    <row r="246">
      <c r="B246" s="148"/>
      <c r="C246" s="65" t="s">
        <v>40</v>
      </c>
      <c r="D246" s="47"/>
      <c r="E246" s="145">
        <v>57916.0</v>
      </c>
      <c r="F246" s="221" t="s">
        <v>1071</v>
      </c>
      <c r="G246" s="101">
        <f> - 1414831+ 724.6 * 2031</f>
        <v>56831.6</v>
      </c>
      <c r="H246" s="222">
        <f t="shared" si="31"/>
        <v>0.01872366876</v>
      </c>
      <c r="I246" s="189"/>
      <c r="J246" s="120" t="s">
        <v>1072</v>
      </c>
      <c r="K246" s="101">
        <f> -2718247 + 1365 *2031</f>
        <v>54068</v>
      </c>
      <c r="L246" s="221" t="s">
        <v>1073</v>
      </c>
      <c r="M246" s="100">
        <f> -2763434 + 1389.4 *2031 -0.075 *57916</f>
        <v>54093.7</v>
      </c>
      <c r="N246" s="223"/>
      <c r="O246" s="57">
        <v>40800.0</v>
      </c>
      <c r="P246" s="56">
        <v>40728.075000000375</v>
      </c>
      <c r="Q246" s="231">
        <v>0.0017628676470496216</v>
      </c>
      <c r="R246" s="101">
        <f t="shared" si="33"/>
        <v>5025.42735</v>
      </c>
    </row>
    <row r="247">
      <c r="B247" s="148"/>
      <c r="C247" s="65" t="s">
        <v>70</v>
      </c>
      <c r="D247" s="47"/>
      <c r="E247" s="57">
        <v>103444.0</v>
      </c>
      <c r="F247" s="221" t="s">
        <v>1074</v>
      </c>
      <c r="G247" s="101">
        <f> - 3051913+ 1552 * 2031</f>
        <v>100199</v>
      </c>
      <c r="H247" s="222">
        <f t="shared" si="31"/>
        <v>0.03136962994</v>
      </c>
      <c r="I247" s="189"/>
      <c r="J247" s="120" t="s">
        <v>1072</v>
      </c>
      <c r="K247" s="101">
        <f>- 7264698 + 3622 *2031</f>
        <v>91584</v>
      </c>
      <c r="L247" s="221" t="s">
        <v>1075</v>
      </c>
      <c r="M247" s="100">
        <f> -9659780 + 4840 *2031 -0.771 *103444</f>
        <v>90504.676</v>
      </c>
      <c r="N247" s="223"/>
      <c r="O247" s="157">
        <v>49550.0</v>
      </c>
      <c r="P247" s="56">
        <v>55099.880999999994</v>
      </c>
      <c r="Q247" s="231">
        <v>0.11200567103935406</v>
      </c>
      <c r="R247" s="101">
        <f t="shared" si="33"/>
        <v>8408.089558</v>
      </c>
    </row>
    <row r="248">
      <c r="B248" s="148"/>
      <c r="C248" s="65" t="s">
        <v>364</v>
      </c>
      <c r="D248" s="47"/>
      <c r="E248" s="57">
        <v>132943.0</v>
      </c>
      <c r="F248" s="221" t="s">
        <v>1076</v>
      </c>
      <c r="G248" s="101">
        <f> - 12130950+ 6032 * 2031</f>
        <v>120042</v>
      </c>
      <c r="H248" s="222">
        <f t="shared" si="31"/>
        <v>0.09704158925</v>
      </c>
      <c r="I248" s="189"/>
      <c r="J248" s="120" t="s">
        <v>1077</v>
      </c>
      <c r="K248" s="101">
        <f t="shared" ref="K248:K250" si="42"> -2077069 + 1035 *2031</f>
        <v>25016</v>
      </c>
      <c r="L248" s="221" t="s">
        <v>1078</v>
      </c>
      <c r="M248" s="100">
        <f> -2120364 + 1057 *2031 -0.0061 *132943</f>
        <v>25592.0477</v>
      </c>
      <c r="N248" s="223"/>
      <c r="O248" s="20">
        <v>13400.0</v>
      </c>
      <c r="P248" s="56">
        <v>15622.4097</v>
      </c>
      <c r="Q248" s="231">
        <v>0.16585147014925375</v>
      </c>
      <c r="R248" s="101">
        <f t="shared" si="33"/>
        <v>2377.559244</v>
      </c>
    </row>
    <row r="249">
      <c r="B249" s="148"/>
      <c r="C249" s="65" t="s">
        <v>366</v>
      </c>
      <c r="D249" s="47"/>
      <c r="E249" s="57">
        <v>133237.0</v>
      </c>
      <c r="F249" s="221" t="s">
        <v>1076</v>
      </c>
      <c r="G249" s="101">
        <f> - 11566655+ 5756 * 2031</f>
        <v>123781</v>
      </c>
      <c r="H249" s="222">
        <f t="shared" si="31"/>
        <v>0.07097127675</v>
      </c>
      <c r="I249" s="189"/>
      <c r="J249" s="120" t="s">
        <v>1077</v>
      </c>
      <c r="K249" s="101">
        <f t="shared" si="42"/>
        <v>25016</v>
      </c>
      <c r="L249" s="221" t="s">
        <v>1079</v>
      </c>
      <c r="M249" s="100">
        <f> -2113065 + 1053 *2031 -0.006 *133237</f>
        <v>24778.578</v>
      </c>
      <c r="N249" s="189"/>
      <c r="O249" s="20">
        <v>13400.0</v>
      </c>
      <c r="P249" s="56">
        <v>14720.292</v>
      </c>
      <c r="Q249" s="231">
        <v>0.09852925373134325</v>
      </c>
      <c r="R249" s="101">
        <f t="shared" si="33"/>
        <v>2301.986065</v>
      </c>
    </row>
    <row r="250">
      <c r="B250" s="148"/>
      <c r="C250" s="65" t="s">
        <v>362</v>
      </c>
      <c r="D250" s="47"/>
      <c r="E250" s="57">
        <v>157262.0</v>
      </c>
      <c r="F250" s="221" t="s">
        <v>1080</v>
      </c>
      <c r="G250" s="101">
        <f> - 14784588+ 7349 * 2031</f>
        <v>141231</v>
      </c>
      <c r="H250" s="222">
        <f t="shared" si="31"/>
        <v>0.1019381669</v>
      </c>
      <c r="I250" s="189"/>
      <c r="J250" s="120" t="s">
        <v>1077</v>
      </c>
      <c r="K250" s="101">
        <f t="shared" si="42"/>
        <v>25016</v>
      </c>
      <c r="L250" s="221" t="s">
        <v>1081</v>
      </c>
      <c r="M250" s="100">
        <f> -2031720 + 1013 *2031 +0.001 *157262</f>
        <v>25840.262</v>
      </c>
      <c r="N250" s="189"/>
      <c r="O250" s="20">
        <v>13400.0</v>
      </c>
      <c r="P250" s="56">
        <v>15587.705</v>
      </c>
      <c r="Q250" s="231">
        <v>0.1632615671641791</v>
      </c>
      <c r="R250" s="101">
        <f t="shared" si="33"/>
        <v>2400.618915</v>
      </c>
    </row>
    <row r="251">
      <c r="B251" s="148"/>
      <c r="C251" s="65" t="s">
        <v>348</v>
      </c>
      <c r="D251" s="47"/>
      <c r="E251" s="57">
        <v>40537.0</v>
      </c>
      <c r="F251" s="221" t="s">
        <v>1082</v>
      </c>
      <c r="G251" s="101">
        <f> - 3386901+ 1688 * 2031</f>
        <v>41427</v>
      </c>
      <c r="H251" s="222">
        <f t="shared" si="31"/>
        <v>0.02195525076</v>
      </c>
      <c r="I251" s="189"/>
      <c r="J251" s="120" t="s">
        <v>1083</v>
      </c>
      <c r="K251" s="101">
        <f t="shared" ref="K251:K253" si="43"> -5129670 + 2553 *2031</f>
        <v>55473</v>
      </c>
      <c r="L251" s="221" t="s">
        <v>1084</v>
      </c>
      <c r="M251" s="100">
        <f> -5063416 + 2520.6 *2031 -0.0064 *40537</f>
        <v>55663.1632</v>
      </c>
      <c r="N251" s="189"/>
      <c r="O251" s="122">
        <v>30674.0</v>
      </c>
      <c r="P251" s="56">
        <v>30470.590399999626</v>
      </c>
      <c r="Q251" s="231">
        <v>0.006631335984885367</v>
      </c>
      <c r="R251" s="101">
        <f t="shared" si="33"/>
        <v>5171.234039</v>
      </c>
    </row>
    <row r="252">
      <c r="B252" s="148"/>
      <c r="C252" s="65" t="s">
        <v>349</v>
      </c>
      <c r="D252" s="47"/>
      <c r="E252" s="57">
        <v>42227.0</v>
      </c>
      <c r="F252" s="221" t="s">
        <v>1085</v>
      </c>
      <c r="G252" s="101">
        <f> - 3260811+ 1629 * 2031</f>
        <v>47688</v>
      </c>
      <c r="H252" s="222">
        <f t="shared" si="31"/>
        <v>0.1293248396</v>
      </c>
      <c r="I252" s="189"/>
      <c r="J252" s="120" t="s">
        <v>1083</v>
      </c>
      <c r="K252" s="101">
        <f t="shared" si="43"/>
        <v>55473</v>
      </c>
      <c r="L252" s="221" t="s">
        <v>1086</v>
      </c>
      <c r="M252" s="100">
        <f> -4914954 + 2446.5 *2031 +0.0388 *42227</f>
        <v>55525.9076</v>
      </c>
      <c r="N252" s="189"/>
      <c r="O252" s="122">
        <v>30674.0</v>
      </c>
      <c r="P252" s="56">
        <v>30961.3856</v>
      </c>
      <c r="Q252" s="231">
        <v>0.009369029145204454</v>
      </c>
      <c r="R252" s="101">
        <f t="shared" si="33"/>
        <v>5158.482683</v>
      </c>
    </row>
    <row r="253">
      <c r="B253" s="148"/>
      <c r="C253" s="65" t="s">
        <v>346</v>
      </c>
      <c r="D253" s="47"/>
      <c r="E253" s="57">
        <v>86047.0</v>
      </c>
      <c r="F253" s="221" t="s">
        <v>1087</v>
      </c>
      <c r="G253" s="101">
        <f> - 9059684+ 4506 * 2031</f>
        <v>92002</v>
      </c>
      <c r="H253" s="222">
        <f t="shared" si="31"/>
        <v>0.06920636396</v>
      </c>
      <c r="I253" s="189"/>
      <c r="J253" s="120" t="s">
        <v>1083</v>
      </c>
      <c r="K253" s="101">
        <f t="shared" si="43"/>
        <v>55473</v>
      </c>
      <c r="L253" s="221" t="s">
        <v>1088</v>
      </c>
      <c r="M253" s="228">
        <f>-5061826 + 2519.8 *2031 -0.0022 *86047</f>
        <v>55698.4966</v>
      </c>
      <c r="N253" s="189"/>
      <c r="O253" s="122">
        <v>30674.0</v>
      </c>
      <c r="P253" s="56">
        <v>30530.273600000746</v>
      </c>
      <c r="Q253" s="231">
        <v>0.004685609962810647</v>
      </c>
      <c r="R253" s="101">
        <f t="shared" si="33"/>
        <v>5174.516592</v>
      </c>
    </row>
    <row r="254">
      <c r="B254" s="148"/>
      <c r="C254" s="65" t="s">
        <v>303</v>
      </c>
      <c r="D254" s="47"/>
      <c r="E254" s="57">
        <v>16911.0</v>
      </c>
      <c r="F254" s="221" t="s">
        <v>1089</v>
      </c>
      <c r="G254" s="101">
        <f> - 100552+ 57.81 * 2031</f>
        <v>16860.11</v>
      </c>
      <c r="H254" s="222">
        <f t="shared" si="31"/>
        <v>0.003009283898</v>
      </c>
      <c r="I254" s="189"/>
      <c r="J254" s="120" t="s">
        <v>1090</v>
      </c>
      <c r="K254" s="101">
        <f t="shared" ref="K254:K259" si="44">-7218602 + 3600 *2031</f>
        <v>92998</v>
      </c>
      <c r="L254" s="221" t="s">
        <v>1091</v>
      </c>
      <c r="M254" s="100">
        <f> -7161190 + 3567.2 *2031 +0.543 *16911</f>
        <v>92975.873</v>
      </c>
      <c r="N254" s="189"/>
      <c r="O254" s="57">
        <v>57178.0</v>
      </c>
      <c r="P254" s="56">
        <v>57174.63899999925</v>
      </c>
      <c r="Q254" s="160">
        <v>5.8781349483132875E-5</v>
      </c>
      <c r="R254" s="101">
        <f t="shared" si="33"/>
        <v>8637.669361</v>
      </c>
    </row>
    <row r="255">
      <c r="B255" s="148"/>
      <c r="C255" s="65" t="s">
        <v>304</v>
      </c>
      <c r="D255" s="47"/>
      <c r="E255" s="57">
        <v>134203.0</v>
      </c>
      <c r="F255" s="221" t="s">
        <v>1092</v>
      </c>
      <c r="G255" s="101">
        <f> - 4982953+ 2520 * 2031</f>
        <v>135167</v>
      </c>
      <c r="H255" s="222">
        <f t="shared" si="31"/>
        <v>0.007183147918</v>
      </c>
      <c r="I255" s="189"/>
      <c r="J255" s="120" t="s">
        <v>1090</v>
      </c>
      <c r="K255" s="101">
        <f t="shared" si="44"/>
        <v>92998</v>
      </c>
      <c r="L255" s="221" t="s">
        <v>1093</v>
      </c>
      <c r="M255" s="100">
        <f> -6708296 + 3342 *2031 +0.1018 *134203</f>
        <v>92967.8654</v>
      </c>
      <c r="N255" s="189"/>
      <c r="O255" s="57">
        <v>57178.0</v>
      </c>
      <c r="P255" s="56">
        <v>57390.6216</v>
      </c>
      <c r="Q255" s="160">
        <v>0.0037185910664940813</v>
      </c>
      <c r="R255" s="101">
        <f t="shared" si="33"/>
        <v>8636.925437</v>
      </c>
    </row>
    <row r="256">
      <c r="B256" s="148"/>
      <c r="C256" s="65" t="s">
        <v>300</v>
      </c>
      <c r="D256" s="47"/>
      <c r="E256" s="57">
        <v>79357.0</v>
      </c>
      <c r="F256" s="221" t="s">
        <v>1094</v>
      </c>
      <c r="G256" s="101">
        <f> - 6528103+ 3250 * 2031</f>
        <v>72647</v>
      </c>
      <c r="H256" s="222">
        <f t="shared" si="31"/>
        <v>0.08455460766</v>
      </c>
      <c r="I256" s="189"/>
      <c r="J256" s="120" t="s">
        <v>1090</v>
      </c>
      <c r="K256" s="101">
        <f t="shared" si="44"/>
        <v>92998</v>
      </c>
      <c r="L256" s="221" t="s">
        <v>1095</v>
      </c>
      <c r="M256" s="100">
        <f> -7132193 + 3557 *2031 +0.0128 *79357</f>
        <v>93089.7696</v>
      </c>
      <c r="N256" s="189"/>
      <c r="O256" s="57">
        <v>57178.0</v>
      </c>
      <c r="P256" s="56">
        <v>56972.9152</v>
      </c>
      <c r="Q256" s="160">
        <v>0.0035867781314491047</v>
      </c>
      <c r="R256" s="101">
        <f t="shared" si="33"/>
        <v>8648.250613</v>
      </c>
    </row>
    <row r="257">
      <c r="C257" s="65" t="s">
        <v>302</v>
      </c>
      <c r="D257" s="47"/>
      <c r="E257" s="57">
        <v>15159.0</v>
      </c>
      <c r="F257" s="221" t="s">
        <v>1096</v>
      </c>
      <c r="G257" s="101">
        <f> - 916610+ 458.4 * 2031</f>
        <v>14400.4</v>
      </c>
      <c r="H257" s="222">
        <f t="shared" si="31"/>
        <v>0.05004287882</v>
      </c>
      <c r="I257" s="189"/>
      <c r="J257" s="120" t="s">
        <v>1090</v>
      </c>
      <c r="K257" s="101">
        <f t="shared" si="44"/>
        <v>92998</v>
      </c>
      <c r="L257" s="221" t="s">
        <v>1097</v>
      </c>
      <c r="M257" s="100">
        <f> -7186606 + 3584 *2031 +0.0318 *15159</f>
        <v>92980.0562</v>
      </c>
      <c r="N257" s="189"/>
      <c r="O257" s="57">
        <v>57178.0</v>
      </c>
      <c r="P257" s="56">
        <v>57095.6634</v>
      </c>
      <c r="Q257" s="160">
        <v>0.0014400048969883934</v>
      </c>
      <c r="R257" s="101">
        <f t="shared" si="33"/>
        <v>8638.05799</v>
      </c>
    </row>
    <row r="258">
      <c r="C258" s="65" t="s">
        <v>305</v>
      </c>
      <c r="D258" s="47"/>
      <c r="E258" s="57">
        <v>96228.0</v>
      </c>
      <c r="F258" s="221" t="s">
        <v>1098</v>
      </c>
      <c r="G258" s="56">
        <f>- 3565020 + 1803 * 2031</f>
        <v>96873</v>
      </c>
      <c r="H258" s="222">
        <f t="shared" si="31"/>
        <v>0.006702830777</v>
      </c>
      <c r="I258" s="189"/>
      <c r="J258" s="120" t="s">
        <v>1090</v>
      </c>
      <c r="K258" s="101">
        <f t="shared" si="44"/>
        <v>92998</v>
      </c>
      <c r="L258" s="221" t="s">
        <v>1099</v>
      </c>
      <c r="M258" s="100">
        <f> -7016887 + 3498 *2031 +0.056 *96228</f>
        <v>92939.768</v>
      </c>
      <c r="N258" s="189"/>
      <c r="O258" s="57">
        <v>57178.0</v>
      </c>
      <c r="P258" s="56">
        <v>57190.944</v>
      </c>
      <c r="Q258" s="160">
        <v>2.263807758229239E-4</v>
      </c>
      <c r="R258" s="101">
        <f t="shared" si="33"/>
        <v>8634.315124</v>
      </c>
    </row>
    <row r="259">
      <c r="C259" s="65" t="s">
        <v>301</v>
      </c>
      <c r="D259" s="47"/>
      <c r="E259" s="57">
        <v>36683.0</v>
      </c>
      <c r="F259" s="221" t="s">
        <v>1100</v>
      </c>
      <c r="G259" s="56">
        <f>- 204256 + 118.5 * 2031</f>
        <v>36417.5</v>
      </c>
      <c r="H259" s="222">
        <f t="shared" si="31"/>
        <v>0.007237685031</v>
      </c>
      <c r="I259" s="189"/>
      <c r="J259" s="120" t="s">
        <v>1090</v>
      </c>
      <c r="K259" s="101">
        <f t="shared" si="44"/>
        <v>92998</v>
      </c>
      <c r="L259" s="221" t="s">
        <v>1101</v>
      </c>
      <c r="M259" s="100">
        <f> -7163761 + 3568.4 *2031 +0.255 *36683</f>
        <v>93013.565</v>
      </c>
      <c r="N259" s="189"/>
      <c r="O259" s="57">
        <v>57178.0</v>
      </c>
      <c r="P259" s="56">
        <v>57074.82000000037</v>
      </c>
      <c r="Q259" s="160">
        <v>0.0018045402077657353</v>
      </c>
      <c r="R259" s="101">
        <f t="shared" si="33"/>
        <v>8641.171033</v>
      </c>
    </row>
    <row r="260">
      <c r="C260" s="69" t="s">
        <v>326</v>
      </c>
      <c r="D260" s="47"/>
      <c r="E260" s="57">
        <v>135565.0</v>
      </c>
      <c r="F260" s="221" t="s">
        <v>1102</v>
      </c>
      <c r="G260" s="101">
        <f> - 9957240 + 4967 * 2031</f>
        <v>130737</v>
      </c>
      <c r="H260" s="222">
        <f t="shared" si="31"/>
        <v>0.03561391215</v>
      </c>
      <c r="I260" s="189"/>
      <c r="J260" s="120" t="s">
        <v>1103</v>
      </c>
      <c r="K260" s="101">
        <f t="shared" ref="K260:K261" si="45"> -4894271 + 2443 *2031</f>
        <v>67462</v>
      </c>
      <c r="L260" s="221" t="s">
        <v>1104</v>
      </c>
      <c r="M260" s="100">
        <f>    -4222888 + 2108 *2031+0.069 *135565</f>
        <v>67813.985</v>
      </c>
      <c r="N260" s="189"/>
      <c r="O260" s="57">
        <v>42000.0</v>
      </c>
      <c r="P260" s="56">
        <v>42610.959</v>
      </c>
      <c r="Q260" s="160">
        <v>0.014546642857142918</v>
      </c>
      <c r="R260" s="101">
        <f t="shared" si="33"/>
        <v>6300.072928</v>
      </c>
    </row>
    <row r="261">
      <c r="C261" s="69" t="s">
        <v>325</v>
      </c>
      <c r="D261" s="47"/>
      <c r="E261" s="57">
        <v>181121.0</v>
      </c>
      <c r="F261" s="221" t="s">
        <v>1105</v>
      </c>
      <c r="G261" s="101">
        <f> - 11730586 + 5862 * 2031</f>
        <v>175136</v>
      </c>
      <c r="H261" s="222">
        <f t="shared" si="31"/>
        <v>0.03304420802</v>
      </c>
      <c r="I261" s="189"/>
      <c r="J261" s="120" t="s">
        <v>1103</v>
      </c>
      <c r="K261" s="101">
        <f t="shared" si="45"/>
        <v>67462</v>
      </c>
      <c r="L261" s="221" t="s">
        <v>1106</v>
      </c>
      <c r="M261" s="100">
        <f> -5046863 + 2519 *2031 -0.012 *181121</f>
        <v>67052.548</v>
      </c>
      <c r="N261" s="189"/>
      <c r="O261" s="57">
        <v>42000.0</v>
      </c>
      <c r="P261" s="56">
        <v>42782.948</v>
      </c>
      <c r="Q261" s="160">
        <v>0.01864161904761897</v>
      </c>
      <c r="R261" s="101">
        <f t="shared" si="33"/>
        <v>6229.333705</v>
      </c>
    </row>
    <row r="262">
      <c r="C262" s="65" t="s">
        <v>296</v>
      </c>
      <c r="D262" s="47"/>
      <c r="E262" s="57">
        <v>32666.0</v>
      </c>
      <c r="F262" s="221" t="s">
        <v>1107</v>
      </c>
      <c r="G262" s="101">
        <f> - 795648 + 407.4 * 2031</f>
        <v>31781.4</v>
      </c>
      <c r="H262" s="222">
        <f t="shared" si="31"/>
        <v>0.02708014449</v>
      </c>
      <c r="I262" s="189"/>
      <c r="J262" s="120" t="s">
        <v>1108</v>
      </c>
      <c r="K262" s="101">
        <f> -8503342 + 4237 *2031</f>
        <v>102005</v>
      </c>
      <c r="L262" s="221" t="s">
        <v>1109</v>
      </c>
      <c r="M262" s="100">
        <f> -8768967 + 4371 *2031 -0.234 *32666</f>
        <v>100890.156</v>
      </c>
      <c r="N262" s="189"/>
      <c r="O262" s="57">
        <v>57815.0</v>
      </c>
      <c r="P262" s="56">
        <v>58291.422</v>
      </c>
      <c r="Q262" s="160">
        <v>0.00824045662890251</v>
      </c>
      <c r="R262" s="101">
        <f t="shared" si="33"/>
        <v>9372.924192</v>
      </c>
    </row>
    <row r="263">
      <c r="C263" s="65" t="s">
        <v>298</v>
      </c>
      <c r="D263" s="47"/>
      <c r="E263" s="57">
        <v>167724.0</v>
      </c>
      <c r="F263" s="221" t="s">
        <v>1110</v>
      </c>
      <c r="G263" s="101">
        <f> - 10787394 + 5389 * 2031</f>
        <v>157665</v>
      </c>
      <c r="H263" s="222">
        <f t="shared" si="31"/>
        <v>0.05997352794</v>
      </c>
      <c r="I263" s="189"/>
      <c r="J263" s="120" t="s">
        <v>1111</v>
      </c>
      <c r="K263" s="101">
        <f> -7688337 + 3833*2031</f>
        <v>96486</v>
      </c>
      <c r="L263" s="221" t="s">
        <v>1112</v>
      </c>
      <c r="M263" s="100">
        <f> -6086131 + 3032 *2031 +0.157 *167724</f>
        <v>98193.668</v>
      </c>
      <c r="N263" s="189"/>
      <c r="O263" s="167">
        <v>54713.0</v>
      </c>
      <c r="P263" s="56">
        <v>54230.525</v>
      </c>
      <c r="Q263" s="160">
        <v>0.008818288158207347</v>
      </c>
      <c r="R263" s="101">
        <f t="shared" si="33"/>
        <v>9122.414344</v>
      </c>
    </row>
    <row r="264">
      <c r="C264" s="65" t="s">
        <v>292</v>
      </c>
      <c r="D264" s="47"/>
      <c r="E264" s="57">
        <v>94590.0</v>
      </c>
      <c r="F264" s="221" t="s">
        <v>1113</v>
      </c>
      <c r="G264" s="101">
        <f>- 4874455 + 2445 * 2031</f>
        <v>91340</v>
      </c>
      <c r="H264" s="222">
        <f t="shared" si="31"/>
        <v>0.03435881171</v>
      </c>
      <c r="I264" s="189"/>
      <c r="J264" s="120" t="s">
        <v>1114</v>
      </c>
      <c r="K264" s="101">
        <f> -10113256 + 5038 *2031</f>
        <v>118922</v>
      </c>
      <c r="L264" s="221" t="s">
        <v>1115</v>
      </c>
      <c r="M264" s="100">
        <f> -9831936 + 4896 *2031 +0.074 *94590</f>
        <v>118839.66</v>
      </c>
      <c r="N264" s="189"/>
      <c r="O264" s="167">
        <v>65533.0</v>
      </c>
      <c r="P264" s="56">
        <v>67286.552</v>
      </c>
      <c r="Q264" s="160">
        <v>0.026758304976118842</v>
      </c>
      <c r="R264" s="101">
        <f t="shared" si="33"/>
        <v>11040.4738</v>
      </c>
    </row>
    <row r="265">
      <c r="C265" s="65" t="s">
        <v>308</v>
      </c>
      <c r="D265" s="47"/>
      <c r="E265" s="57">
        <v>107746.0</v>
      </c>
      <c r="F265" s="221" t="s">
        <v>1116</v>
      </c>
      <c r="G265" s="56">
        <f>- 4938122 + 2484 * 2031</f>
        <v>106882</v>
      </c>
      <c r="H265" s="222">
        <f t="shared" si="31"/>
        <v>0.008018859169</v>
      </c>
      <c r="I265" s="189"/>
      <c r="J265" s="120" t="s">
        <v>1117</v>
      </c>
      <c r="K265" s="101">
        <f>-7708672 + 3840 *2031</f>
        <v>90368</v>
      </c>
      <c r="L265" s="221" t="s">
        <v>1118</v>
      </c>
      <c r="M265" s="100">
        <f> -10034482 + 5009 *2031 -0.463 *107746</f>
        <v>88910.602</v>
      </c>
      <c r="N265" s="189"/>
      <c r="O265" s="167">
        <v>53200.0</v>
      </c>
      <c r="P265" s="56">
        <v>52209.636</v>
      </c>
      <c r="Q265" s="160">
        <v>0.01861586466165416</v>
      </c>
      <c r="R265" s="101">
        <f t="shared" si="33"/>
        <v>8259.99647</v>
      </c>
    </row>
    <row r="266">
      <c r="C266" s="65" t="s">
        <v>321</v>
      </c>
      <c r="D266" s="47"/>
      <c r="E266" s="57">
        <v>51373.0</v>
      </c>
      <c r="F266" s="221" t="s">
        <v>1119</v>
      </c>
      <c r="G266" s="101">
        <f> - 84604 + 66.8 * 2031</f>
        <v>51066.8</v>
      </c>
      <c r="H266" s="222">
        <f t="shared" si="31"/>
        <v>0.005960329356</v>
      </c>
      <c r="I266" s="189"/>
      <c r="J266" s="120" t="s">
        <v>1120</v>
      </c>
      <c r="K266" s="101">
        <f> -5840928 + 2912 *2031</f>
        <v>73344</v>
      </c>
      <c r="L266" s="221" t="s">
        <v>1121</v>
      </c>
      <c r="M266" s="100">
        <f>-6022127 + 3025 *2031 -0.933 *51373</f>
        <v>73716.991</v>
      </c>
      <c r="N266" s="189"/>
      <c r="O266" s="167">
        <v>41760.0</v>
      </c>
      <c r="P266" s="56">
        <v>43593.879</v>
      </c>
      <c r="Q266" s="160">
        <v>0.04391472701149427</v>
      </c>
      <c r="R266" s="101">
        <f t="shared" si="33"/>
        <v>6848.475567</v>
      </c>
      <c r="S266" s="190"/>
    </row>
    <row r="267">
      <c r="C267" s="65" t="s">
        <v>319</v>
      </c>
      <c r="D267" s="47"/>
      <c r="E267" s="57">
        <v>156525.0</v>
      </c>
      <c r="F267" s="221" t="s">
        <v>1122</v>
      </c>
      <c r="G267" s="56">
        <f>- 4647461 + 2367 *2031</f>
        <v>159916</v>
      </c>
      <c r="H267" s="222">
        <f t="shared" si="31"/>
        <v>0.02166427088</v>
      </c>
      <c r="I267" s="189"/>
      <c r="J267" s="120" t="s">
        <v>1123</v>
      </c>
      <c r="K267" s="101">
        <f>- 6294793 + 3138 *2031</f>
        <v>78485</v>
      </c>
      <c r="L267" s="221" t="s">
        <v>1124</v>
      </c>
      <c r="M267" s="228">
        <f>-6122362 + 3049 *2031+0.052 *156525</f>
        <v>78296.3</v>
      </c>
      <c r="N267" s="189"/>
      <c r="O267" s="167">
        <v>44090.0</v>
      </c>
      <c r="P267" s="246">
        <v>47072.996</v>
      </c>
      <c r="Q267" s="160">
        <v>0.06765697437060555</v>
      </c>
      <c r="R267" s="247">
        <f t="shared" si="33"/>
        <v>7273.903753</v>
      </c>
      <c r="S267" s="190"/>
    </row>
    <row r="268">
      <c r="C268" s="65" t="s">
        <v>327</v>
      </c>
      <c r="D268" s="50"/>
      <c r="E268" s="248">
        <v>265152.0</v>
      </c>
      <c r="F268" s="249" t="s">
        <v>1125</v>
      </c>
      <c r="G268" s="250">
        <f>- 12329327 + 6206*2031</f>
        <v>275059</v>
      </c>
      <c r="H268" s="222">
        <f t="shared" si="31"/>
        <v>0.03736347454</v>
      </c>
      <c r="I268" s="251"/>
      <c r="J268" s="252" t="s">
        <v>1126</v>
      </c>
      <c r="K268" s="250">
        <f>- 5387017 + 2685 *2031</f>
        <v>66218</v>
      </c>
      <c r="L268" s="249" t="s">
        <v>1127</v>
      </c>
      <c r="M268" s="103">
        <f> -5968770 + 2979 *2031-0.0526 *265152</f>
        <v>67632.0048</v>
      </c>
      <c r="N268" s="251"/>
      <c r="O268" s="177">
        <v>39430.0</v>
      </c>
      <c r="P268" s="253">
        <v>38917.148799999995</v>
      </c>
      <c r="Q268" s="160">
        <v>0.013006624397666868</v>
      </c>
      <c r="R268" s="254">
        <f t="shared" si="33"/>
        <v>6283.166555</v>
      </c>
      <c r="S268" s="190"/>
    </row>
    <row r="269">
      <c r="E269" s="255"/>
      <c r="F269" s="256"/>
      <c r="G269" s="257"/>
      <c r="H269" s="258">
        <f>AVERAGE(H6:H268)</f>
        <v>0.02391144726</v>
      </c>
      <c r="I269" s="259"/>
      <c r="J269" s="260"/>
      <c r="K269" s="257"/>
      <c r="L269" s="256"/>
      <c r="M269" s="261"/>
      <c r="N269" s="259"/>
      <c r="O269" s="179"/>
      <c r="P269" s="179"/>
      <c r="Q269" s="180">
        <f>AVERAGE(Q7:Q268)</f>
        <v>0.04388746863</v>
      </c>
      <c r="R269" s="179"/>
    </row>
    <row r="270">
      <c r="E270" s="151"/>
      <c r="F270" s="262"/>
      <c r="G270" s="107"/>
      <c r="H270" s="263">
        <f>1-H269</f>
        <v>0.9760885527</v>
      </c>
      <c r="J270" s="148"/>
      <c r="K270" s="107"/>
      <c r="L270" s="262"/>
      <c r="M270" s="182"/>
      <c r="O270" s="152"/>
      <c r="P270" s="152"/>
      <c r="Q270" s="161">
        <f>1-Q269</f>
        <v>0.9561125314</v>
      </c>
      <c r="R270" s="152"/>
    </row>
    <row r="271">
      <c r="E271" s="151"/>
      <c r="F271" s="262"/>
      <c r="G271" s="107"/>
      <c r="H271" s="264"/>
      <c r="J271" s="148"/>
      <c r="K271" s="107"/>
      <c r="L271" s="262"/>
      <c r="M271" s="182"/>
      <c r="N271" s="152"/>
      <c r="O271" s="152"/>
      <c r="P271" s="152"/>
      <c r="Q271" s="152"/>
      <c r="R271" s="152"/>
    </row>
    <row r="272">
      <c r="E272" s="151"/>
      <c r="F272" s="262"/>
      <c r="G272" s="107"/>
      <c r="H272" s="264"/>
      <c r="J272" s="148"/>
      <c r="K272" s="107"/>
      <c r="L272" s="262"/>
      <c r="M272" s="182"/>
      <c r="N272" s="152"/>
      <c r="O272" s="152"/>
      <c r="P272" s="152"/>
      <c r="Q272" s="152"/>
      <c r="R272" s="152"/>
    </row>
    <row r="273">
      <c r="E273" s="151"/>
      <c r="F273" s="262"/>
      <c r="G273" s="107"/>
      <c r="H273" s="264"/>
      <c r="J273" s="148"/>
      <c r="K273" s="107"/>
      <c r="L273" s="262"/>
      <c r="M273" s="182"/>
      <c r="N273" s="152"/>
      <c r="O273" s="152"/>
      <c r="P273" s="152"/>
      <c r="Q273" s="152"/>
      <c r="R273" s="152"/>
    </row>
    <row r="274">
      <c r="E274" s="151"/>
      <c r="F274" s="262"/>
      <c r="G274" s="107"/>
      <c r="H274" s="264"/>
      <c r="J274" s="148"/>
      <c r="K274" s="107"/>
      <c r="L274" s="262"/>
      <c r="M274" s="182"/>
      <c r="N274" s="152"/>
      <c r="O274" s="152"/>
      <c r="P274" s="152"/>
      <c r="Q274" s="152"/>
      <c r="R274" s="152"/>
    </row>
    <row r="275">
      <c r="E275" s="151"/>
      <c r="F275" s="262"/>
      <c r="G275" s="107"/>
      <c r="H275" s="264"/>
      <c r="J275" s="148"/>
      <c r="K275" s="107"/>
      <c r="L275" s="262"/>
      <c r="M275" s="182"/>
      <c r="N275" s="152"/>
      <c r="O275" s="152"/>
      <c r="P275" s="152"/>
      <c r="Q275" s="152"/>
      <c r="R275" s="152"/>
    </row>
    <row r="276">
      <c r="E276" s="151"/>
      <c r="F276" s="262"/>
      <c r="G276" s="107"/>
      <c r="H276" s="264"/>
      <c r="J276" s="148"/>
      <c r="K276" s="107"/>
      <c r="L276" s="262"/>
      <c r="M276" s="182"/>
      <c r="N276" s="152"/>
      <c r="O276" s="152"/>
      <c r="P276" s="152"/>
      <c r="Q276" s="152"/>
      <c r="R276" s="152"/>
    </row>
    <row r="277">
      <c r="E277" s="151"/>
      <c r="F277" s="262"/>
      <c r="G277" s="107"/>
      <c r="H277" s="264"/>
      <c r="J277" s="148"/>
      <c r="K277" s="107"/>
      <c r="L277" s="265"/>
      <c r="M277" s="182"/>
      <c r="N277" s="152"/>
      <c r="O277" s="152"/>
      <c r="P277" s="152"/>
      <c r="Q277" s="152"/>
      <c r="R277" s="152"/>
    </row>
    <row r="278">
      <c r="E278" s="151"/>
      <c r="F278" s="262"/>
      <c r="G278" s="107"/>
      <c r="H278" s="264"/>
      <c r="J278" s="148"/>
      <c r="K278" s="107"/>
      <c r="L278" s="265"/>
      <c r="M278" s="182"/>
      <c r="N278" s="152"/>
      <c r="O278" s="152"/>
      <c r="P278" s="152"/>
      <c r="Q278" s="152"/>
      <c r="R278" s="152"/>
    </row>
    <row r="279">
      <c r="E279" s="151"/>
      <c r="F279" s="262"/>
      <c r="G279" s="107"/>
      <c r="H279" s="264"/>
      <c r="J279" s="148"/>
      <c r="K279" s="107"/>
      <c r="L279" s="265"/>
      <c r="M279" s="182"/>
      <c r="N279" s="152"/>
      <c r="O279" s="152"/>
      <c r="P279" s="152"/>
      <c r="Q279" s="152"/>
      <c r="R279" s="152"/>
    </row>
    <row r="280">
      <c r="E280" s="151"/>
      <c r="F280" s="262"/>
      <c r="G280" s="107"/>
      <c r="H280" s="264"/>
      <c r="J280" s="148"/>
      <c r="K280" s="107"/>
      <c r="L280" s="265"/>
      <c r="M280" s="182"/>
      <c r="N280" s="152"/>
      <c r="O280" s="152"/>
      <c r="P280" s="152"/>
      <c r="Q280" s="152"/>
      <c r="R280" s="152"/>
    </row>
    <row r="281">
      <c r="E281" s="151"/>
      <c r="F281" s="262"/>
      <c r="G281" s="107"/>
      <c r="H281" s="264"/>
      <c r="J281" s="148"/>
      <c r="K281" s="107"/>
      <c r="L281" s="265"/>
      <c r="M281" s="182"/>
      <c r="N281" s="152"/>
      <c r="O281" s="152"/>
      <c r="P281" s="152"/>
      <c r="Q281" s="152"/>
      <c r="R281" s="152"/>
    </row>
    <row r="282">
      <c r="E282" s="151"/>
      <c r="F282" s="262"/>
      <c r="G282" s="107"/>
      <c r="H282" s="264"/>
      <c r="J282" s="148"/>
      <c r="K282" s="107"/>
      <c r="L282" s="265"/>
      <c r="M282" s="182"/>
      <c r="N282" s="152"/>
      <c r="O282" s="152"/>
      <c r="P282" s="152"/>
      <c r="Q282" s="152"/>
      <c r="R282" s="152"/>
    </row>
    <row r="283">
      <c r="E283" s="151"/>
      <c r="F283" s="262"/>
      <c r="G283" s="107"/>
      <c r="H283" s="264"/>
      <c r="J283" s="148"/>
      <c r="K283" s="107"/>
      <c r="L283" s="265"/>
      <c r="M283" s="182"/>
      <c r="N283" s="152"/>
      <c r="O283" s="152"/>
      <c r="P283" s="152"/>
      <c r="Q283" s="152"/>
      <c r="R283" s="152"/>
    </row>
    <row r="284">
      <c r="E284" s="151"/>
      <c r="F284" s="262"/>
      <c r="G284" s="107"/>
      <c r="H284" s="264"/>
      <c r="J284" s="148"/>
      <c r="K284" s="107"/>
      <c r="L284" s="265"/>
      <c r="M284" s="182"/>
      <c r="N284" s="152"/>
      <c r="O284" s="152"/>
      <c r="P284" s="152"/>
      <c r="Q284" s="152"/>
      <c r="R284" s="152"/>
    </row>
    <row r="285">
      <c r="E285" s="151"/>
      <c r="F285" s="265"/>
      <c r="G285" s="107"/>
      <c r="H285" s="264"/>
      <c r="J285" s="148"/>
      <c r="K285" s="107"/>
      <c r="L285" s="265"/>
      <c r="M285" s="182"/>
      <c r="N285" s="152"/>
      <c r="O285" s="152"/>
      <c r="P285" s="152"/>
      <c r="Q285" s="152"/>
      <c r="R285" s="152"/>
    </row>
    <row r="286">
      <c r="E286" s="151"/>
      <c r="F286" s="265"/>
      <c r="G286" s="107"/>
      <c r="H286" s="264"/>
      <c r="J286" s="148"/>
      <c r="K286" s="107"/>
      <c r="L286" s="265"/>
      <c r="M286" s="182"/>
      <c r="N286" s="152"/>
      <c r="O286" s="152"/>
      <c r="P286" s="152"/>
      <c r="Q286" s="152"/>
      <c r="R286" s="152"/>
    </row>
    <row r="287">
      <c r="E287" s="151"/>
      <c r="F287" s="265"/>
      <c r="G287" s="107"/>
      <c r="H287" s="264"/>
      <c r="J287" s="148"/>
      <c r="K287" s="107"/>
      <c r="L287" s="265"/>
      <c r="M287" s="182"/>
      <c r="N287" s="152"/>
      <c r="O287" s="152"/>
      <c r="P287" s="152"/>
      <c r="Q287" s="152"/>
      <c r="R287" s="152"/>
    </row>
    <row r="288">
      <c r="E288" s="151"/>
      <c r="F288" s="265"/>
      <c r="G288" s="107"/>
      <c r="H288" s="264"/>
      <c r="J288" s="148"/>
      <c r="K288" s="107"/>
      <c r="L288" s="265"/>
      <c r="M288" s="182"/>
      <c r="N288" s="152"/>
      <c r="O288" s="152"/>
      <c r="P288" s="152"/>
      <c r="Q288" s="152"/>
      <c r="R288" s="152"/>
    </row>
    <row r="289">
      <c r="E289" s="151"/>
      <c r="F289" s="265"/>
      <c r="G289" s="107"/>
      <c r="H289" s="264"/>
      <c r="J289" s="148"/>
      <c r="K289" s="107"/>
      <c r="L289" s="265"/>
      <c r="M289" s="182"/>
      <c r="N289" s="152"/>
      <c r="O289" s="152"/>
      <c r="P289" s="152"/>
      <c r="Q289" s="152"/>
      <c r="R289" s="152"/>
    </row>
    <row r="290">
      <c r="E290" s="151"/>
      <c r="F290" s="265"/>
      <c r="G290" s="107"/>
      <c r="H290" s="264"/>
      <c r="J290" s="148"/>
      <c r="K290" s="107"/>
      <c r="L290" s="265"/>
      <c r="M290" s="182"/>
      <c r="N290" s="152"/>
      <c r="O290" s="152"/>
      <c r="P290" s="152"/>
      <c r="Q290" s="152"/>
      <c r="R290" s="152"/>
    </row>
    <row r="291">
      <c r="E291" s="151"/>
      <c r="F291" s="265"/>
      <c r="G291" s="107"/>
      <c r="H291" s="264"/>
      <c r="J291" s="148"/>
      <c r="K291" s="107"/>
      <c r="L291" s="265"/>
      <c r="M291" s="182"/>
      <c r="N291" s="152"/>
      <c r="O291" s="152"/>
      <c r="P291" s="152"/>
      <c r="Q291" s="152"/>
      <c r="R291" s="152"/>
    </row>
    <row r="292">
      <c r="E292" s="151"/>
      <c r="F292" s="265"/>
      <c r="G292" s="107"/>
      <c r="H292" s="264"/>
      <c r="J292" s="148"/>
      <c r="K292" s="107"/>
      <c r="L292" s="265"/>
      <c r="M292" s="182"/>
      <c r="N292" s="152"/>
      <c r="O292" s="152"/>
      <c r="P292" s="152"/>
      <c r="Q292" s="152"/>
      <c r="R292" s="152"/>
    </row>
    <row r="293">
      <c r="E293" s="151"/>
      <c r="F293" s="265"/>
      <c r="G293" s="107"/>
      <c r="H293" s="264"/>
      <c r="J293" s="148"/>
      <c r="K293" s="107"/>
      <c r="L293" s="265"/>
      <c r="M293" s="182"/>
      <c r="N293" s="152"/>
      <c r="O293" s="152"/>
      <c r="P293" s="152"/>
      <c r="Q293" s="152"/>
      <c r="R293" s="152"/>
    </row>
    <row r="294">
      <c r="E294" s="151"/>
      <c r="F294" s="265"/>
      <c r="G294" s="107"/>
      <c r="H294" s="264"/>
      <c r="J294" s="148"/>
      <c r="K294" s="107"/>
      <c r="L294" s="265"/>
      <c r="M294" s="182"/>
      <c r="N294" s="152"/>
      <c r="O294" s="152"/>
      <c r="P294" s="152"/>
      <c r="Q294" s="152"/>
      <c r="R294" s="152"/>
    </row>
    <row r="295">
      <c r="E295" s="151"/>
      <c r="F295" s="265"/>
      <c r="G295" s="107"/>
      <c r="H295" s="264"/>
      <c r="J295" s="148"/>
      <c r="K295" s="107"/>
      <c r="L295" s="265"/>
      <c r="M295" s="182"/>
      <c r="N295" s="152"/>
      <c r="O295" s="152"/>
      <c r="P295" s="152"/>
      <c r="Q295" s="152"/>
      <c r="R295" s="152"/>
    </row>
    <row r="296">
      <c r="E296" s="151"/>
      <c r="F296" s="265"/>
      <c r="G296" s="107"/>
      <c r="H296" s="264"/>
      <c r="J296" s="148"/>
      <c r="K296" s="107"/>
      <c r="L296" s="265"/>
      <c r="M296" s="182"/>
      <c r="N296" s="152"/>
      <c r="O296" s="152"/>
      <c r="P296" s="152"/>
      <c r="Q296" s="152"/>
      <c r="R296" s="152"/>
    </row>
    <row r="297">
      <c r="E297" s="151"/>
      <c r="F297" s="265"/>
      <c r="G297" s="107"/>
      <c r="H297" s="264"/>
      <c r="J297" s="148"/>
      <c r="K297" s="107"/>
      <c r="L297" s="265"/>
      <c r="M297" s="182"/>
      <c r="N297" s="152"/>
      <c r="O297" s="152"/>
      <c r="P297" s="152"/>
      <c r="Q297" s="152"/>
      <c r="R297" s="152"/>
    </row>
    <row r="298">
      <c r="E298" s="151"/>
      <c r="F298" s="265"/>
      <c r="G298" s="107"/>
      <c r="H298" s="264"/>
      <c r="J298" s="148"/>
      <c r="K298" s="107"/>
      <c r="L298" s="265"/>
      <c r="M298" s="182"/>
      <c r="N298" s="152"/>
      <c r="O298" s="152"/>
      <c r="P298" s="152"/>
      <c r="Q298" s="152"/>
      <c r="R298" s="152"/>
    </row>
    <row r="299">
      <c r="E299" s="151"/>
      <c r="F299" s="265"/>
      <c r="G299" s="107"/>
      <c r="H299" s="264"/>
      <c r="J299" s="148"/>
      <c r="K299" s="107"/>
      <c r="L299" s="265"/>
      <c r="M299" s="182"/>
      <c r="N299" s="152"/>
      <c r="O299" s="152"/>
      <c r="P299" s="152"/>
      <c r="Q299" s="152"/>
      <c r="R299" s="152"/>
    </row>
    <row r="300">
      <c r="E300" s="151"/>
      <c r="F300" s="265"/>
      <c r="G300" s="107"/>
      <c r="H300" s="264"/>
      <c r="J300" s="148"/>
      <c r="K300" s="107"/>
      <c r="L300" s="265"/>
      <c r="M300" s="182"/>
      <c r="N300" s="152"/>
      <c r="O300" s="152"/>
      <c r="P300" s="152"/>
      <c r="Q300" s="152"/>
      <c r="R300" s="152"/>
    </row>
    <row r="301">
      <c r="E301" s="151"/>
      <c r="F301" s="265"/>
      <c r="G301" s="107"/>
      <c r="H301" s="264"/>
      <c r="J301" s="148"/>
      <c r="K301" s="107"/>
      <c r="L301" s="265"/>
      <c r="M301" s="182"/>
      <c r="N301" s="152"/>
      <c r="O301" s="152"/>
      <c r="P301" s="152"/>
      <c r="Q301" s="152"/>
      <c r="R301" s="152"/>
    </row>
    <row r="302">
      <c r="E302" s="151"/>
      <c r="F302" s="265"/>
      <c r="G302" s="107"/>
      <c r="H302" s="264"/>
      <c r="J302" s="148"/>
      <c r="K302" s="107"/>
      <c r="L302" s="265"/>
      <c r="M302" s="182"/>
      <c r="N302" s="152"/>
      <c r="O302" s="152"/>
      <c r="P302" s="152"/>
      <c r="Q302" s="152"/>
      <c r="R302" s="152"/>
    </row>
    <row r="303">
      <c r="E303" s="151"/>
      <c r="F303" s="265"/>
      <c r="G303" s="107"/>
      <c r="H303" s="264"/>
      <c r="J303" s="148"/>
      <c r="K303" s="107"/>
      <c r="L303" s="265"/>
      <c r="M303" s="182"/>
      <c r="N303" s="152"/>
      <c r="O303" s="152"/>
      <c r="P303" s="152"/>
      <c r="Q303" s="152"/>
      <c r="R303" s="152"/>
    </row>
    <row r="304">
      <c r="E304" s="151"/>
      <c r="F304" s="265"/>
      <c r="G304" s="107"/>
      <c r="H304" s="264"/>
      <c r="J304" s="148"/>
      <c r="K304" s="107"/>
      <c r="L304" s="265"/>
      <c r="M304" s="182"/>
      <c r="N304" s="152"/>
      <c r="O304" s="152"/>
      <c r="P304" s="152"/>
      <c r="Q304" s="152"/>
      <c r="R304" s="152"/>
    </row>
    <row r="305">
      <c r="E305" s="151"/>
      <c r="F305" s="265"/>
      <c r="G305" s="107"/>
      <c r="H305" s="264"/>
      <c r="J305" s="148"/>
      <c r="K305" s="107"/>
      <c r="L305" s="265"/>
      <c r="M305" s="182"/>
      <c r="N305" s="152"/>
      <c r="O305" s="152"/>
      <c r="P305" s="152"/>
      <c r="Q305" s="152"/>
      <c r="R305" s="152"/>
    </row>
    <row r="306">
      <c r="E306" s="151"/>
      <c r="F306" s="265"/>
      <c r="G306" s="107"/>
      <c r="H306" s="264"/>
      <c r="J306" s="148"/>
      <c r="K306" s="107"/>
      <c r="L306" s="265"/>
      <c r="M306" s="182"/>
      <c r="N306" s="152"/>
      <c r="O306" s="152"/>
      <c r="P306" s="152"/>
      <c r="Q306" s="152"/>
      <c r="R306" s="152"/>
    </row>
    <row r="307">
      <c r="E307" s="151"/>
      <c r="F307" s="265"/>
      <c r="G307" s="107"/>
      <c r="H307" s="264"/>
      <c r="J307" s="148"/>
      <c r="K307" s="107"/>
      <c r="L307" s="265"/>
      <c r="M307" s="182"/>
      <c r="N307" s="152"/>
      <c r="O307" s="152"/>
      <c r="P307" s="152"/>
      <c r="Q307" s="152"/>
      <c r="R307" s="152"/>
    </row>
    <row r="308">
      <c r="E308" s="151"/>
      <c r="F308" s="265"/>
      <c r="G308" s="107"/>
      <c r="H308" s="264"/>
      <c r="J308" s="148"/>
      <c r="K308" s="107"/>
      <c r="L308" s="265"/>
      <c r="M308" s="182"/>
      <c r="N308" s="152"/>
      <c r="O308" s="152"/>
      <c r="P308" s="152"/>
      <c r="Q308" s="152"/>
      <c r="R308" s="152"/>
    </row>
    <row r="309">
      <c r="E309" s="151"/>
      <c r="F309" s="265"/>
      <c r="G309" s="107"/>
      <c r="H309" s="264"/>
      <c r="J309" s="148"/>
      <c r="K309" s="107"/>
      <c r="L309" s="265"/>
      <c r="M309" s="182"/>
      <c r="N309" s="152"/>
      <c r="O309" s="152"/>
      <c r="P309" s="152"/>
      <c r="Q309" s="152"/>
      <c r="R309" s="152"/>
    </row>
    <row r="310">
      <c r="E310" s="151"/>
      <c r="F310" s="265"/>
      <c r="G310" s="107"/>
      <c r="H310" s="264"/>
      <c r="J310" s="148"/>
      <c r="K310" s="107"/>
      <c r="L310" s="265"/>
      <c r="M310" s="182"/>
      <c r="N310" s="152"/>
      <c r="O310" s="152"/>
      <c r="P310" s="152"/>
      <c r="Q310" s="152"/>
      <c r="R310" s="152"/>
    </row>
    <row r="311">
      <c r="E311" s="151"/>
      <c r="F311" s="265"/>
      <c r="G311" s="107"/>
      <c r="H311" s="264"/>
      <c r="J311" s="148"/>
      <c r="K311" s="107"/>
      <c r="L311" s="265"/>
      <c r="M311" s="182"/>
      <c r="N311" s="152"/>
      <c r="O311" s="152"/>
      <c r="P311" s="152"/>
      <c r="Q311" s="152"/>
      <c r="R311" s="152"/>
    </row>
    <row r="312">
      <c r="E312" s="151"/>
      <c r="F312" s="265"/>
      <c r="G312" s="107"/>
      <c r="H312" s="264"/>
      <c r="J312" s="148"/>
      <c r="K312" s="107"/>
      <c r="L312" s="265"/>
      <c r="M312" s="182"/>
      <c r="N312" s="152"/>
      <c r="O312" s="152"/>
      <c r="P312" s="152"/>
      <c r="Q312" s="152"/>
      <c r="R312" s="152"/>
    </row>
    <row r="313">
      <c r="E313" s="151"/>
      <c r="F313" s="265"/>
      <c r="G313" s="107"/>
      <c r="H313" s="264"/>
      <c r="J313" s="148"/>
      <c r="K313" s="107"/>
      <c r="L313" s="265"/>
      <c r="M313" s="182"/>
      <c r="N313" s="152"/>
      <c r="O313" s="152"/>
      <c r="P313" s="152"/>
      <c r="Q313" s="152"/>
      <c r="R313" s="152"/>
    </row>
    <row r="314">
      <c r="E314" s="151"/>
      <c r="F314" s="265"/>
      <c r="G314" s="107"/>
      <c r="H314" s="264"/>
      <c r="J314" s="148"/>
      <c r="K314" s="107"/>
      <c r="L314" s="265"/>
      <c r="M314" s="182"/>
      <c r="N314" s="152"/>
      <c r="O314" s="152"/>
      <c r="P314" s="152"/>
      <c r="Q314" s="152"/>
      <c r="R314" s="152"/>
    </row>
    <row r="315">
      <c r="E315" s="151"/>
      <c r="F315" s="265"/>
      <c r="G315" s="107"/>
      <c r="H315" s="264"/>
      <c r="J315" s="148"/>
      <c r="K315" s="107"/>
      <c r="L315" s="265"/>
      <c r="M315" s="182"/>
      <c r="N315" s="152"/>
      <c r="O315" s="152"/>
      <c r="P315" s="152"/>
      <c r="Q315" s="152"/>
      <c r="R315" s="152"/>
    </row>
    <row r="316">
      <c r="E316" s="151"/>
      <c r="F316" s="265"/>
      <c r="G316" s="107"/>
      <c r="H316" s="264"/>
      <c r="J316" s="148"/>
      <c r="K316" s="107"/>
      <c r="L316" s="265"/>
      <c r="M316" s="182"/>
      <c r="N316" s="152"/>
      <c r="O316" s="152"/>
      <c r="P316" s="152"/>
      <c r="Q316" s="152"/>
      <c r="R316" s="152"/>
    </row>
    <row r="317">
      <c r="E317" s="151"/>
      <c r="F317" s="265"/>
      <c r="G317" s="107"/>
      <c r="H317" s="264"/>
      <c r="J317" s="148"/>
      <c r="K317" s="107"/>
      <c r="L317" s="265"/>
      <c r="M317" s="182"/>
      <c r="N317" s="152"/>
      <c r="O317" s="152"/>
      <c r="P317" s="152"/>
      <c r="Q317" s="152"/>
      <c r="R317" s="152"/>
    </row>
    <row r="318">
      <c r="E318" s="151"/>
      <c r="F318" s="265"/>
      <c r="G318" s="107"/>
      <c r="H318" s="264"/>
      <c r="J318" s="148"/>
      <c r="K318" s="107"/>
      <c r="L318" s="265"/>
      <c r="M318" s="182"/>
      <c r="N318" s="152"/>
      <c r="O318" s="152"/>
      <c r="P318" s="152"/>
      <c r="Q318" s="152"/>
      <c r="R318" s="152"/>
    </row>
    <row r="319">
      <c r="E319" s="151"/>
      <c r="F319" s="265"/>
      <c r="G319" s="107"/>
      <c r="H319" s="264"/>
      <c r="J319" s="148"/>
      <c r="K319" s="107"/>
      <c r="L319" s="265"/>
      <c r="M319" s="182"/>
      <c r="N319" s="152"/>
      <c r="O319" s="152"/>
      <c r="P319" s="152"/>
      <c r="Q319" s="152"/>
      <c r="R319" s="152"/>
    </row>
    <row r="320">
      <c r="E320" s="151"/>
      <c r="F320" s="265"/>
      <c r="G320" s="107"/>
      <c r="H320" s="264"/>
      <c r="J320" s="148"/>
      <c r="K320" s="107"/>
      <c r="L320" s="265"/>
      <c r="M320" s="182"/>
      <c r="N320" s="152"/>
      <c r="O320" s="152"/>
      <c r="P320" s="152"/>
      <c r="Q320" s="152"/>
      <c r="R320" s="152"/>
    </row>
    <row r="321">
      <c r="E321" s="151"/>
      <c r="F321" s="265"/>
      <c r="G321" s="107"/>
      <c r="H321" s="264"/>
      <c r="J321" s="148"/>
      <c r="K321" s="107"/>
      <c r="L321" s="265"/>
      <c r="M321" s="182"/>
      <c r="N321" s="152"/>
      <c r="O321" s="152"/>
      <c r="P321" s="152"/>
      <c r="Q321" s="152"/>
      <c r="R321" s="152"/>
    </row>
    <row r="322">
      <c r="E322" s="151"/>
      <c r="F322" s="265"/>
      <c r="G322" s="107"/>
      <c r="H322" s="264"/>
      <c r="J322" s="148"/>
      <c r="K322" s="107"/>
      <c r="L322" s="265"/>
      <c r="M322" s="182"/>
      <c r="N322" s="152"/>
      <c r="O322" s="152"/>
      <c r="P322" s="152"/>
      <c r="Q322" s="152"/>
      <c r="R322" s="152"/>
    </row>
    <row r="323">
      <c r="E323" s="151"/>
      <c r="F323" s="265"/>
      <c r="G323" s="107"/>
      <c r="H323" s="264"/>
      <c r="J323" s="148"/>
      <c r="K323" s="107"/>
      <c r="L323" s="265"/>
      <c r="M323" s="182"/>
      <c r="N323" s="152"/>
      <c r="O323" s="152"/>
      <c r="P323" s="152"/>
      <c r="Q323" s="152"/>
      <c r="R323" s="152"/>
    </row>
    <row r="324">
      <c r="E324" s="151"/>
      <c r="F324" s="265"/>
      <c r="G324" s="107"/>
      <c r="H324" s="264"/>
      <c r="J324" s="148"/>
      <c r="K324" s="107"/>
      <c r="L324" s="265"/>
      <c r="M324" s="182"/>
      <c r="N324" s="152"/>
      <c r="O324" s="152"/>
      <c r="P324" s="152"/>
      <c r="Q324" s="152"/>
      <c r="R324" s="152"/>
    </row>
    <row r="325">
      <c r="E325" s="151"/>
      <c r="F325" s="265"/>
      <c r="G325" s="107"/>
      <c r="H325" s="264"/>
      <c r="J325" s="148"/>
      <c r="K325" s="107"/>
      <c r="L325" s="265"/>
      <c r="M325" s="182"/>
      <c r="N325" s="152"/>
      <c r="O325" s="152"/>
      <c r="P325" s="152"/>
      <c r="Q325" s="152"/>
      <c r="R325" s="152"/>
    </row>
    <row r="326">
      <c r="E326" s="151"/>
      <c r="F326" s="265"/>
      <c r="G326" s="107"/>
      <c r="H326" s="264"/>
      <c r="J326" s="148"/>
      <c r="K326" s="107"/>
      <c r="L326" s="265"/>
      <c r="M326" s="182"/>
      <c r="N326" s="152"/>
      <c r="O326" s="152"/>
      <c r="P326" s="152"/>
      <c r="Q326" s="152"/>
      <c r="R326" s="152"/>
    </row>
    <row r="327">
      <c r="E327" s="151"/>
      <c r="F327" s="265"/>
      <c r="G327" s="107"/>
      <c r="H327" s="264"/>
      <c r="J327" s="148"/>
      <c r="K327" s="107"/>
      <c r="L327" s="265"/>
      <c r="M327" s="182"/>
      <c r="N327" s="152"/>
      <c r="O327" s="152"/>
      <c r="P327" s="152"/>
      <c r="Q327" s="152"/>
      <c r="R327" s="152"/>
    </row>
    <row r="328">
      <c r="E328" s="151"/>
      <c r="F328" s="265"/>
      <c r="G328" s="107"/>
      <c r="H328" s="264"/>
      <c r="J328" s="148"/>
      <c r="K328" s="107"/>
      <c r="L328" s="265"/>
      <c r="M328" s="182"/>
      <c r="N328" s="152"/>
      <c r="O328" s="152"/>
      <c r="P328" s="152"/>
      <c r="Q328" s="152"/>
      <c r="R328" s="152"/>
    </row>
    <row r="329">
      <c r="E329" s="151"/>
      <c r="F329" s="265"/>
      <c r="G329" s="107"/>
      <c r="H329" s="264"/>
      <c r="J329" s="148"/>
      <c r="K329" s="107"/>
      <c r="L329" s="265"/>
      <c r="M329" s="182"/>
      <c r="N329" s="152"/>
      <c r="O329" s="152"/>
      <c r="P329" s="152"/>
      <c r="Q329" s="152"/>
      <c r="R329" s="152"/>
    </row>
    <row r="330">
      <c r="E330" s="151"/>
      <c r="F330" s="265"/>
      <c r="G330" s="107"/>
      <c r="H330" s="264"/>
      <c r="J330" s="148"/>
      <c r="K330" s="107"/>
      <c r="L330" s="265"/>
      <c r="M330" s="182"/>
      <c r="N330" s="152"/>
      <c r="O330" s="152"/>
      <c r="P330" s="152"/>
      <c r="Q330" s="152"/>
      <c r="R330" s="152"/>
    </row>
    <row r="331">
      <c r="E331" s="151"/>
      <c r="F331" s="265"/>
      <c r="G331" s="107"/>
      <c r="H331" s="264"/>
      <c r="J331" s="148"/>
      <c r="K331" s="107"/>
      <c r="L331" s="265"/>
      <c r="M331" s="182"/>
      <c r="N331" s="152"/>
      <c r="O331" s="152"/>
      <c r="P331" s="152"/>
      <c r="Q331" s="152"/>
      <c r="R331" s="152"/>
    </row>
    <row r="332">
      <c r="E332" s="151"/>
      <c r="F332" s="265"/>
      <c r="G332" s="107"/>
      <c r="H332" s="264"/>
      <c r="J332" s="148"/>
      <c r="K332" s="107"/>
      <c r="L332" s="265"/>
      <c r="M332" s="182"/>
      <c r="N332" s="152"/>
      <c r="O332" s="152"/>
      <c r="P332" s="152"/>
      <c r="Q332" s="152"/>
      <c r="R332" s="152"/>
    </row>
    <row r="333">
      <c r="E333" s="151"/>
      <c r="F333" s="265"/>
      <c r="G333" s="107"/>
      <c r="H333" s="264"/>
      <c r="J333" s="148"/>
      <c r="K333" s="107"/>
      <c r="L333" s="265"/>
      <c r="M333" s="182"/>
      <c r="N333" s="152"/>
      <c r="O333" s="152"/>
      <c r="P333" s="152"/>
      <c r="Q333" s="152"/>
      <c r="R333" s="152"/>
    </row>
    <row r="334">
      <c r="E334" s="151"/>
      <c r="F334" s="265"/>
      <c r="G334" s="107"/>
      <c r="H334" s="264"/>
      <c r="J334" s="148"/>
      <c r="K334" s="107"/>
      <c r="L334" s="265"/>
      <c r="M334" s="182"/>
      <c r="N334" s="152"/>
      <c r="O334" s="152"/>
      <c r="P334" s="152"/>
      <c r="Q334" s="152"/>
      <c r="R334" s="152"/>
    </row>
    <row r="335">
      <c r="E335" s="151"/>
      <c r="F335" s="265"/>
      <c r="G335" s="107"/>
      <c r="H335" s="264"/>
      <c r="J335" s="148"/>
      <c r="K335" s="107"/>
      <c r="L335" s="265"/>
      <c r="M335" s="182"/>
      <c r="N335" s="152"/>
      <c r="O335" s="152"/>
      <c r="P335" s="152"/>
      <c r="Q335" s="152"/>
      <c r="R335" s="152"/>
    </row>
    <row r="336">
      <c r="E336" s="151"/>
      <c r="F336" s="265"/>
      <c r="G336" s="107"/>
      <c r="H336" s="264"/>
      <c r="J336" s="148"/>
      <c r="K336" s="107"/>
      <c r="L336" s="265"/>
      <c r="M336" s="182"/>
      <c r="N336" s="152"/>
      <c r="O336" s="152"/>
      <c r="P336" s="152"/>
      <c r="Q336" s="152"/>
      <c r="R336" s="152"/>
    </row>
    <row r="337">
      <c r="E337" s="151"/>
      <c r="F337" s="265"/>
      <c r="G337" s="107"/>
      <c r="H337" s="264"/>
      <c r="J337" s="148"/>
      <c r="K337" s="107"/>
      <c r="L337" s="265"/>
      <c r="M337" s="182"/>
      <c r="N337" s="152"/>
      <c r="O337" s="152"/>
      <c r="P337" s="152"/>
      <c r="Q337" s="152"/>
      <c r="R337" s="152"/>
    </row>
    <row r="338">
      <c r="E338" s="151"/>
      <c r="F338" s="265"/>
      <c r="G338" s="107"/>
      <c r="H338" s="264"/>
      <c r="J338" s="148"/>
      <c r="K338" s="107"/>
      <c r="L338" s="265"/>
      <c r="M338" s="182"/>
      <c r="N338" s="152"/>
      <c r="O338" s="152"/>
      <c r="P338" s="152"/>
      <c r="Q338" s="152"/>
      <c r="R338" s="152"/>
    </row>
    <row r="339">
      <c r="E339" s="151"/>
      <c r="F339" s="265"/>
      <c r="G339" s="107"/>
      <c r="H339" s="264"/>
      <c r="J339" s="148"/>
      <c r="K339" s="107"/>
      <c r="L339" s="265"/>
      <c r="M339" s="182"/>
      <c r="N339" s="152"/>
      <c r="O339" s="152"/>
      <c r="P339" s="152"/>
      <c r="Q339" s="152"/>
      <c r="R339" s="152"/>
    </row>
    <row r="340">
      <c r="E340" s="151"/>
      <c r="F340" s="265"/>
      <c r="G340" s="107"/>
      <c r="H340" s="264"/>
      <c r="J340" s="148"/>
      <c r="K340" s="107"/>
      <c r="L340" s="265"/>
      <c r="M340" s="182"/>
      <c r="N340" s="152"/>
      <c r="O340" s="152"/>
      <c r="P340" s="152"/>
      <c r="Q340" s="152"/>
      <c r="R340" s="152"/>
    </row>
    <row r="341">
      <c r="E341" s="151"/>
      <c r="F341" s="265"/>
      <c r="G341" s="107"/>
      <c r="H341" s="264"/>
      <c r="J341" s="148"/>
      <c r="K341" s="107"/>
      <c r="L341" s="265"/>
      <c r="M341" s="182"/>
      <c r="N341" s="152"/>
      <c r="O341" s="152"/>
      <c r="P341" s="152"/>
      <c r="Q341" s="152"/>
      <c r="R341" s="152"/>
    </row>
    <row r="342">
      <c r="E342" s="151"/>
      <c r="F342" s="265"/>
      <c r="G342" s="107"/>
      <c r="H342" s="264"/>
      <c r="J342" s="148"/>
      <c r="K342" s="107"/>
      <c r="L342" s="265"/>
      <c r="M342" s="182"/>
      <c r="N342" s="152"/>
      <c r="O342" s="152"/>
      <c r="P342" s="152"/>
      <c r="Q342" s="152"/>
      <c r="R342" s="152"/>
    </row>
    <row r="343">
      <c r="E343" s="151"/>
      <c r="F343" s="265"/>
      <c r="G343" s="107"/>
      <c r="H343" s="264"/>
      <c r="J343" s="148"/>
      <c r="K343" s="107"/>
      <c r="L343" s="265"/>
      <c r="M343" s="182"/>
      <c r="N343" s="152"/>
      <c r="O343" s="152"/>
      <c r="P343" s="152"/>
      <c r="Q343" s="152"/>
      <c r="R343" s="152"/>
    </row>
    <row r="344">
      <c r="E344" s="151"/>
      <c r="F344" s="265"/>
      <c r="G344" s="107"/>
      <c r="H344" s="264"/>
      <c r="J344" s="148"/>
      <c r="K344" s="107"/>
      <c r="L344" s="265"/>
      <c r="M344" s="182"/>
      <c r="N344" s="152"/>
      <c r="O344" s="152"/>
      <c r="P344" s="152"/>
      <c r="Q344" s="152"/>
      <c r="R344" s="152"/>
    </row>
    <row r="345">
      <c r="E345" s="151"/>
      <c r="F345" s="265"/>
      <c r="G345" s="107"/>
      <c r="H345" s="264"/>
      <c r="J345" s="148"/>
      <c r="K345" s="107"/>
      <c r="L345" s="265"/>
      <c r="M345" s="182"/>
      <c r="N345" s="152"/>
      <c r="O345" s="152"/>
      <c r="P345" s="152"/>
      <c r="Q345" s="152"/>
      <c r="R345" s="152"/>
    </row>
    <row r="346">
      <c r="E346" s="151"/>
      <c r="F346" s="265"/>
      <c r="G346" s="107"/>
      <c r="H346" s="264"/>
      <c r="J346" s="148"/>
      <c r="K346" s="107"/>
      <c r="L346" s="265"/>
      <c r="M346" s="182"/>
      <c r="N346" s="152"/>
      <c r="O346" s="152"/>
      <c r="P346" s="152"/>
      <c r="Q346" s="152"/>
      <c r="R346" s="152"/>
    </row>
    <row r="347">
      <c r="E347" s="151"/>
      <c r="F347" s="265"/>
      <c r="G347" s="107"/>
      <c r="H347" s="264"/>
      <c r="J347" s="148"/>
      <c r="K347" s="107"/>
      <c r="L347" s="265"/>
      <c r="M347" s="182"/>
      <c r="N347" s="152"/>
      <c r="O347" s="152"/>
      <c r="P347" s="152"/>
      <c r="Q347" s="152"/>
      <c r="R347" s="152"/>
    </row>
    <row r="348">
      <c r="E348" s="151"/>
      <c r="F348" s="265"/>
      <c r="G348" s="107"/>
      <c r="H348" s="264"/>
      <c r="J348" s="148"/>
      <c r="K348" s="107"/>
      <c r="L348" s="265"/>
      <c r="M348" s="182"/>
      <c r="N348" s="152"/>
      <c r="O348" s="152"/>
      <c r="P348" s="152"/>
      <c r="Q348" s="152"/>
      <c r="R348" s="152"/>
    </row>
    <row r="349">
      <c r="E349" s="151"/>
      <c r="F349" s="265"/>
      <c r="G349" s="107"/>
      <c r="H349" s="264"/>
      <c r="J349" s="148"/>
      <c r="K349" s="107"/>
      <c r="L349" s="265"/>
      <c r="M349" s="182"/>
      <c r="N349" s="152"/>
      <c r="O349" s="152"/>
      <c r="P349" s="152"/>
      <c r="Q349" s="152"/>
      <c r="R349" s="152"/>
    </row>
    <row r="350">
      <c r="E350" s="151"/>
      <c r="F350" s="265"/>
      <c r="G350" s="107"/>
      <c r="H350" s="264"/>
      <c r="J350" s="148"/>
      <c r="K350" s="107"/>
      <c r="L350" s="265"/>
      <c r="M350" s="182"/>
      <c r="N350" s="152"/>
      <c r="O350" s="152"/>
      <c r="P350" s="152"/>
      <c r="Q350" s="152"/>
      <c r="R350" s="152"/>
    </row>
    <row r="351">
      <c r="E351" s="151"/>
      <c r="F351" s="265"/>
      <c r="G351" s="107"/>
      <c r="H351" s="264"/>
      <c r="J351" s="148"/>
      <c r="K351" s="107"/>
      <c r="L351" s="265"/>
      <c r="M351" s="182"/>
      <c r="N351" s="152"/>
      <c r="O351" s="152"/>
      <c r="P351" s="152"/>
      <c r="Q351" s="152"/>
      <c r="R351" s="152"/>
    </row>
    <row r="352">
      <c r="E352" s="151"/>
      <c r="F352" s="265"/>
      <c r="G352" s="107"/>
      <c r="H352" s="264"/>
      <c r="J352" s="148"/>
      <c r="K352" s="107"/>
      <c r="L352" s="265"/>
      <c r="M352" s="182"/>
      <c r="N352" s="152"/>
      <c r="O352" s="152"/>
      <c r="P352" s="152"/>
      <c r="Q352" s="152"/>
      <c r="R352" s="152"/>
    </row>
    <row r="353">
      <c r="E353" s="151"/>
      <c r="F353" s="265"/>
      <c r="G353" s="107"/>
      <c r="H353" s="264"/>
      <c r="J353" s="148"/>
      <c r="K353" s="107"/>
      <c r="L353" s="265"/>
      <c r="M353" s="182"/>
      <c r="N353" s="152"/>
      <c r="O353" s="152"/>
      <c r="P353" s="152"/>
      <c r="Q353" s="152"/>
      <c r="R353" s="152"/>
    </row>
    <row r="354">
      <c r="E354" s="151"/>
      <c r="F354" s="265"/>
      <c r="G354" s="107"/>
      <c r="H354" s="264"/>
      <c r="J354" s="148"/>
      <c r="K354" s="107"/>
      <c r="L354" s="265"/>
      <c r="M354" s="182"/>
      <c r="N354" s="152"/>
      <c r="O354" s="152"/>
      <c r="P354" s="152"/>
      <c r="Q354" s="152"/>
      <c r="R354" s="152"/>
    </row>
    <row r="355">
      <c r="E355" s="151"/>
      <c r="F355" s="265"/>
      <c r="G355" s="107"/>
      <c r="H355" s="264"/>
      <c r="J355" s="148"/>
      <c r="K355" s="107"/>
      <c r="L355" s="265"/>
      <c r="M355" s="182"/>
      <c r="N355" s="152"/>
      <c r="O355" s="152"/>
      <c r="P355" s="152"/>
      <c r="Q355" s="152"/>
      <c r="R355" s="152"/>
    </row>
    <row r="356">
      <c r="E356" s="151"/>
      <c r="F356" s="265"/>
      <c r="G356" s="107"/>
      <c r="H356" s="264"/>
      <c r="J356" s="148"/>
      <c r="K356" s="107"/>
      <c r="L356" s="265"/>
      <c r="M356" s="182"/>
      <c r="N356" s="152"/>
      <c r="O356" s="152"/>
      <c r="P356" s="152"/>
      <c r="Q356" s="152"/>
      <c r="R356" s="152"/>
    </row>
    <row r="357">
      <c r="E357" s="151"/>
      <c r="F357" s="265"/>
      <c r="G357" s="107"/>
      <c r="H357" s="264"/>
      <c r="J357" s="148"/>
      <c r="K357" s="107"/>
      <c r="L357" s="265"/>
      <c r="M357" s="182"/>
      <c r="N357" s="152"/>
      <c r="O357" s="152"/>
      <c r="P357" s="152"/>
      <c r="Q357" s="152"/>
      <c r="R357" s="152"/>
    </row>
    <row r="358">
      <c r="E358" s="151"/>
      <c r="F358" s="265"/>
      <c r="G358" s="107"/>
      <c r="H358" s="264"/>
      <c r="J358" s="148"/>
      <c r="K358" s="107"/>
      <c r="L358" s="265"/>
      <c r="M358" s="182"/>
      <c r="N358" s="152"/>
      <c r="O358" s="152"/>
      <c r="P358" s="152"/>
      <c r="Q358" s="152"/>
      <c r="R358" s="152"/>
    </row>
    <row r="359">
      <c r="E359" s="151"/>
      <c r="F359" s="265"/>
      <c r="G359" s="107"/>
      <c r="H359" s="264"/>
      <c r="J359" s="148"/>
      <c r="K359" s="107"/>
      <c r="L359" s="265"/>
      <c r="M359" s="182"/>
      <c r="N359" s="152"/>
      <c r="O359" s="152"/>
      <c r="P359" s="152"/>
      <c r="Q359" s="152"/>
      <c r="R359" s="152"/>
    </row>
    <row r="360">
      <c r="E360" s="151"/>
      <c r="F360" s="265"/>
      <c r="G360" s="107"/>
      <c r="H360" s="264"/>
      <c r="J360" s="148"/>
      <c r="K360" s="107"/>
      <c r="L360" s="265"/>
      <c r="M360" s="182"/>
      <c r="N360" s="152"/>
      <c r="O360" s="152"/>
      <c r="P360" s="152"/>
      <c r="Q360" s="152"/>
      <c r="R360" s="152"/>
    </row>
    <row r="361">
      <c r="E361" s="151"/>
      <c r="F361" s="265"/>
      <c r="G361" s="107"/>
      <c r="H361" s="264"/>
      <c r="J361" s="148"/>
      <c r="K361" s="107"/>
      <c r="L361" s="265"/>
      <c r="M361" s="182"/>
      <c r="N361" s="152"/>
      <c r="O361" s="152"/>
      <c r="P361" s="152"/>
      <c r="Q361" s="152"/>
      <c r="R361" s="152"/>
    </row>
    <row r="362">
      <c r="E362" s="151"/>
      <c r="F362" s="265"/>
      <c r="G362" s="107"/>
      <c r="H362" s="264"/>
      <c r="J362" s="148"/>
      <c r="K362" s="107"/>
      <c r="L362" s="265"/>
      <c r="M362" s="182"/>
      <c r="N362" s="152"/>
      <c r="O362" s="152"/>
      <c r="P362" s="152"/>
      <c r="Q362" s="152"/>
      <c r="R362" s="152"/>
    </row>
    <row r="363">
      <c r="E363" s="151"/>
      <c r="F363" s="265"/>
      <c r="G363" s="107"/>
      <c r="H363" s="264"/>
      <c r="J363" s="148"/>
      <c r="K363" s="107"/>
      <c r="L363" s="265"/>
      <c r="M363" s="182"/>
      <c r="N363" s="152"/>
      <c r="O363" s="152"/>
      <c r="P363" s="152"/>
      <c r="Q363" s="152"/>
      <c r="R363" s="152"/>
    </row>
    <row r="364">
      <c r="E364" s="151"/>
      <c r="F364" s="265"/>
      <c r="G364" s="107"/>
      <c r="H364" s="264"/>
      <c r="J364" s="148"/>
      <c r="K364" s="107"/>
      <c r="L364" s="265"/>
      <c r="M364" s="182"/>
      <c r="N364" s="152"/>
      <c r="O364" s="152"/>
      <c r="P364" s="152"/>
      <c r="Q364" s="152"/>
      <c r="R364" s="152"/>
    </row>
    <row r="365">
      <c r="E365" s="151"/>
      <c r="F365" s="265"/>
      <c r="G365" s="107"/>
      <c r="H365" s="264"/>
      <c r="J365" s="148"/>
      <c r="K365" s="107"/>
      <c r="L365" s="265"/>
      <c r="M365" s="182"/>
      <c r="N365" s="152"/>
      <c r="O365" s="152"/>
      <c r="P365" s="152"/>
      <c r="Q365" s="152"/>
      <c r="R365" s="152"/>
    </row>
    <row r="366">
      <c r="E366" s="151"/>
      <c r="F366" s="265"/>
      <c r="G366" s="107"/>
      <c r="H366" s="264"/>
      <c r="J366" s="148"/>
      <c r="K366" s="107"/>
      <c r="L366" s="265"/>
      <c r="M366" s="182"/>
      <c r="N366" s="152"/>
      <c r="O366" s="152"/>
      <c r="P366" s="152"/>
      <c r="Q366" s="152"/>
      <c r="R366" s="152"/>
    </row>
    <row r="367">
      <c r="E367" s="151"/>
      <c r="F367" s="265"/>
      <c r="G367" s="107"/>
      <c r="H367" s="264"/>
      <c r="J367" s="148"/>
      <c r="K367" s="107"/>
      <c r="L367" s="265"/>
      <c r="M367" s="182"/>
      <c r="N367" s="152"/>
      <c r="O367" s="152"/>
      <c r="P367" s="152"/>
      <c r="Q367" s="152"/>
      <c r="R367" s="152"/>
    </row>
    <row r="368">
      <c r="E368" s="151"/>
      <c r="F368" s="265"/>
      <c r="G368" s="107"/>
      <c r="H368" s="264"/>
      <c r="J368" s="148"/>
      <c r="K368" s="107"/>
      <c r="L368" s="265"/>
      <c r="M368" s="182"/>
      <c r="N368" s="152"/>
      <c r="O368" s="152"/>
      <c r="P368" s="152"/>
      <c r="Q368" s="152"/>
      <c r="R368" s="152"/>
    </row>
    <row r="369">
      <c r="E369" s="151"/>
      <c r="F369" s="265"/>
      <c r="G369" s="107"/>
      <c r="H369" s="264"/>
      <c r="J369" s="148"/>
      <c r="K369" s="107"/>
      <c r="L369" s="265"/>
      <c r="M369" s="182"/>
      <c r="N369" s="152"/>
      <c r="O369" s="152"/>
      <c r="P369" s="152"/>
      <c r="Q369" s="152"/>
      <c r="R369" s="152"/>
    </row>
    <row r="370">
      <c r="E370" s="151"/>
      <c r="F370" s="265"/>
      <c r="G370" s="107"/>
      <c r="H370" s="264"/>
      <c r="J370" s="148"/>
      <c r="K370" s="107"/>
      <c r="L370" s="265"/>
      <c r="M370" s="182"/>
      <c r="N370" s="152"/>
      <c r="O370" s="152"/>
      <c r="P370" s="152"/>
      <c r="Q370" s="152"/>
      <c r="R370" s="152"/>
    </row>
    <row r="371">
      <c r="E371" s="151"/>
      <c r="F371" s="265"/>
      <c r="G371" s="107"/>
      <c r="H371" s="264"/>
      <c r="J371" s="148"/>
      <c r="K371" s="107"/>
      <c r="L371" s="265"/>
      <c r="M371" s="182"/>
      <c r="N371" s="152"/>
      <c r="O371" s="152"/>
      <c r="P371" s="152"/>
      <c r="Q371" s="152"/>
      <c r="R371" s="152"/>
    </row>
    <row r="372">
      <c r="E372" s="151"/>
      <c r="F372" s="265"/>
      <c r="G372" s="107"/>
      <c r="H372" s="264"/>
      <c r="J372" s="148"/>
      <c r="K372" s="107"/>
      <c r="L372" s="265"/>
      <c r="M372" s="182"/>
      <c r="N372" s="152"/>
      <c r="O372" s="152"/>
      <c r="P372" s="152"/>
      <c r="Q372" s="152"/>
      <c r="R372" s="152"/>
    </row>
    <row r="373">
      <c r="E373" s="151"/>
      <c r="F373" s="265"/>
      <c r="G373" s="107"/>
      <c r="H373" s="264"/>
      <c r="J373" s="148"/>
      <c r="K373" s="107"/>
      <c r="L373" s="265"/>
      <c r="M373" s="182"/>
      <c r="N373" s="152"/>
      <c r="O373" s="152"/>
      <c r="P373" s="152"/>
      <c r="Q373" s="152"/>
      <c r="R373" s="152"/>
    </row>
    <row r="374">
      <c r="E374" s="151"/>
      <c r="F374" s="265"/>
      <c r="G374" s="107"/>
      <c r="H374" s="264"/>
      <c r="J374" s="148"/>
      <c r="K374" s="107"/>
      <c r="L374" s="265"/>
      <c r="M374" s="182"/>
      <c r="N374" s="152"/>
      <c r="O374" s="152"/>
      <c r="P374" s="152"/>
      <c r="Q374" s="152"/>
      <c r="R374" s="152"/>
    </row>
    <row r="375">
      <c r="E375" s="151"/>
      <c r="F375" s="265"/>
      <c r="G375" s="107"/>
      <c r="H375" s="264"/>
      <c r="J375" s="148"/>
      <c r="K375" s="107"/>
      <c r="L375" s="265"/>
      <c r="M375" s="182"/>
      <c r="N375" s="152"/>
      <c r="O375" s="152"/>
      <c r="P375" s="152"/>
      <c r="Q375" s="152"/>
      <c r="R375" s="152"/>
    </row>
    <row r="376">
      <c r="E376" s="151"/>
      <c r="F376" s="265"/>
      <c r="G376" s="107"/>
      <c r="H376" s="264"/>
      <c r="J376" s="148"/>
      <c r="K376" s="107"/>
      <c r="L376" s="265"/>
      <c r="M376" s="182"/>
      <c r="N376" s="152"/>
      <c r="O376" s="152"/>
      <c r="P376" s="152"/>
      <c r="Q376" s="152"/>
      <c r="R376" s="152"/>
    </row>
    <row r="377">
      <c r="E377" s="151"/>
      <c r="F377" s="265"/>
      <c r="G377" s="107"/>
      <c r="H377" s="264"/>
      <c r="J377" s="148"/>
      <c r="K377" s="107"/>
      <c r="L377" s="265"/>
      <c r="M377" s="182"/>
      <c r="N377" s="152"/>
      <c r="O377" s="152"/>
      <c r="P377" s="152"/>
      <c r="Q377" s="152"/>
      <c r="R377" s="152"/>
    </row>
    <row r="378">
      <c r="E378" s="151"/>
      <c r="F378" s="265"/>
      <c r="G378" s="107"/>
      <c r="H378" s="264"/>
      <c r="J378" s="148"/>
      <c r="K378" s="107"/>
      <c r="L378" s="265"/>
      <c r="M378" s="182"/>
      <c r="N378" s="152"/>
      <c r="O378" s="152"/>
      <c r="P378" s="152"/>
      <c r="Q378" s="152"/>
      <c r="R378" s="152"/>
    </row>
    <row r="379">
      <c r="E379" s="151"/>
      <c r="F379" s="265"/>
      <c r="G379" s="107"/>
      <c r="H379" s="264"/>
      <c r="J379" s="148"/>
      <c r="K379" s="107"/>
      <c r="L379" s="265"/>
      <c r="M379" s="182"/>
      <c r="N379" s="152"/>
      <c r="O379" s="152"/>
      <c r="P379" s="152"/>
      <c r="Q379" s="152"/>
      <c r="R379" s="152"/>
    </row>
    <row r="380">
      <c r="E380" s="151"/>
      <c r="F380" s="265"/>
      <c r="G380" s="107"/>
      <c r="H380" s="264"/>
      <c r="J380" s="148"/>
      <c r="K380" s="107"/>
      <c r="L380" s="265"/>
      <c r="M380" s="182"/>
      <c r="N380" s="152"/>
      <c r="O380" s="152"/>
      <c r="P380" s="152"/>
      <c r="Q380" s="152"/>
      <c r="R380" s="152"/>
    </row>
    <row r="381">
      <c r="E381" s="151"/>
      <c r="F381" s="265"/>
      <c r="G381" s="107"/>
      <c r="H381" s="264"/>
      <c r="J381" s="148"/>
      <c r="K381" s="107"/>
      <c r="L381" s="265"/>
      <c r="M381" s="182"/>
      <c r="N381" s="152"/>
      <c r="O381" s="152"/>
      <c r="P381" s="152"/>
      <c r="Q381" s="152"/>
      <c r="R381" s="152"/>
    </row>
    <row r="382">
      <c r="E382" s="151"/>
      <c r="F382" s="265"/>
      <c r="G382" s="107"/>
      <c r="H382" s="264"/>
      <c r="J382" s="148"/>
      <c r="K382" s="107"/>
      <c r="L382" s="265"/>
      <c r="M382" s="182"/>
      <c r="N382" s="152"/>
      <c r="O382" s="152"/>
      <c r="P382" s="152"/>
      <c r="Q382" s="152"/>
      <c r="R382" s="152"/>
    </row>
    <row r="383">
      <c r="E383" s="151"/>
      <c r="F383" s="265"/>
      <c r="G383" s="107"/>
      <c r="H383" s="264"/>
      <c r="J383" s="148"/>
      <c r="K383" s="107"/>
      <c r="L383" s="265"/>
      <c r="M383" s="182"/>
      <c r="N383" s="152"/>
      <c r="O383" s="152"/>
      <c r="P383" s="152"/>
      <c r="Q383" s="152"/>
      <c r="R383" s="152"/>
    </row>
    <row r="384">
      <c r="E384" s="151"/>
      <c r="F384" s="265"/>
      <c r="G384" s="107"/>
      <c r="H384" s="264"/>
      <c r="J384" s="148"/>
      <c r="K384" s="107"/>
      <c r="L384" s="265"/>
      <c r="M384" s="182"/>
      <c r="N384" s="152"/>
      <c r="O384" s="152"/>
      <c r="P384" s="152"/>
      <c r="Q384" s="152"/>
      <c r="R384" s="152"/>
    </row>
    <row r="385">
      <c r="E385" s="151"/>
      <c r="F385" s="265"/>
      <c r="G385" s="107"/>
      <c r="H385" s="264"/>
      <c r="J385" s="148"/>
      <c r="K385" s="107"/>
      <c r="L385" s="265"/>
      <c r="M385" s="182"/>
      <c r="N385" s="152"/>
      <c r="O385" s="152"/>
      <c r="P385" s="152"/>
      <c r="Q385" s="152"/>
      <c r="R385" s="152"/>
    </row>
    <row r="386">
      <c r="E386" s="151"/>
      <c r="F386" s="265"/>
      <c r="G386" s="107"/>
      <c r="H386" s="264"/>
      <c r="J386" s="148"/>
      <c r="K386" s="107"/>
      <c r="L386" s="265"/>
      <c r="M386" s="182"/>
      <c r="N386" s="152"/>
      <c r="O386" s="152"/>
      <c r="P386" s="152"/>
      <c r="Q386" s="152"/>
      <c r="R386" s="152"/>
    </row>
    <row r="387">
      <c r="E387" s="151"/>
      <c r="F387" s="265"/>
      <c r="G387" s="107"/>
      <c r="H387" s="264"/>
      <c r="J387" s="148"/>
      <c r="K387" s="107"/>
      <c r="L387" s="265"/>
      <c r="M387" s="182"/>
      <c r="N387" s="152"/>
      <c r="O387" s="152"/>
      <c r="P387" s="152"/>
      <c r="Q387" s="152"/>
      <c r="R387" s="152"/>
    </row>
    <row r="388">
      <c r="E388" s="151"/>
      <c r="F388" s="265"/>
      <c r="G388" s="107"/>
      <c r="H388" s="264"/>
      <c r="J388" s="148"/>
      <c r="K388" s="107"/>
      <c r="L388" s="265"/>
      <c r="M388" s="182"/>
      <c r="N388" s="152"/>
      <c r="O388" s="152"/>
      <c r="P388" s="152"/>
      <c r="Q388" s="152"/>
      <c r="R388" s="152"/>
    </row>
    <row r="389">
      <c r="E389" s="151"/>
      <c r="F389" s="265"/>
      <c r="G389" s="107"/>
      <c r="H389" s="264"/>
      <c r="J389" s="148"/>
      <c r="K389" s="107"/>
      <c r="L389" s="265"/>
      <c r="M389" s="182"/>
      <c r="N389" s="152"/>
      <c r="O389" s="152"/>
      <c r="P389" s="152"/>
      <c r="Q389" s="152"/>
      <c r="R389" s="152"/>
    </row>
    <row r="390">
      <c r="E390" s="151"/>
      <c r="F390" s="265"/>
      <c r="G390" s="107"/>
      <c r="H390" s="264"/>
      <c r="J390" s="148"/>
      <c r="K390" s="107"/>
      <c r="L390" s="265"/>
      <c r="M390" s="182"/>
      <c r="N390" s="152"/>
      <c r="O390" s="152"/>
      <c r="P390" s="152"/>
      <c r="Q390" s="152"/>
      <c r="R390" s="152"/>
    </row>
    <row r="391">
      <c r="E391" s="151"/>
      <c r="F391" s="265"/>
      <c r="G391" s="107"/>
      <c r="H391" s="264"/>
      <c r="J391" s="148"/>
      <c r="K391" s="107"/>
      <c r="L391" s="265"/>
      <c r="M391" s="182"/>
      <c r="N391" s="152"/>
      <c r="O391" s="152"/>
      <c r="P391" s="152"/>
      <c r="Q391" s="152"/>
      <c r="R391" s="152"/>
    </row>
    <row r="392">
      <c r="E392" s="151"/>
      <c r="F392" s="265"/>
      <c r="G392" s="107"/>
      <c r="H392" s="264"/>
      <c r="J392" s="148"/>
      <c r="K392" s="107"/>
      <c r="L392" s="265"/>
      <c r="M392" s="182"/>
      <c r="N392" s="152"/>
      <c r="O392" s="152"/>
      <c r="P392" s="152"/>
      <c r="Q392" s="152"/>
      <c r="R392" s="152"/>
    </row>
    <row r="393">
      <c r="E393" s="151"/>
      <c r="F393" s="265"/>
      <c r="G393" s="107"/>
      <c r="H393" s="264"/>
      <c r="J393" s="148"/>
      <c r="K393" s="107"/>
      <c r="L393" s="265"/>
      <c r="M393" s="182"/>
      <c r="N393" s="152"/>
      <c r="O393" s="152"/>
      <c r="P393" s="152"/>
      <c r="Q393" s="152"/>
      <c r="R393" s="152"/>
    </row>
    <row r="394">
      <c r="E394" s="151"/>
      <c r="F394" s="265"/>
      <c r="G394" s="107"/>
      <c r="H394" s="264"/>
      <c r="J394" s="148"/>
      <c r="K394" s="107"/>
      <c r="L394" s="265"/>
      <c r="M394" s="182"/>
      <c r="N394" s="152"/>
      <c r="O394" s="152"/>
      <c r="P394" s="152"/>
      <c r="Q394" s="152"/>
      <c r="R394" s="152"/>
    </row>
    <row r="395">
      <c r="E395" s="151"/>
      <c r="F395" s="265"/>
      <c r="G395" s="107"/>
      <c r="H395" s="264"/>
      <c r="J395" s="148"/>
      <c r="K395" s="107"/>
      <c r="L395" s="265"/>
      <c r="M395" s="182"/>
      <c r="N395" s="152"/>
      <c r="O395" s="152"/>
      <c r="P395" s="152"/>
      <c r="Q395" s="152"/>
      <c r="R395" s="152"/>
    </row>
    <row r="396">
      <c r="E396" s="151"/>
      <c r="F396" s="265"/>
      <c r="G396" s="107"/>
      <c r="H396" s="264"/>
      <c r="J396" s="148"/>
      <c r="K396" s="107"/>
      <c r="L396" s="265"/>
      <c r="M396" s="182"/>
      <c r="N396" s="152"/>
      <c r="O396" s="152"/>
      <c r="P396" s="152"/>
      <c r="Q396" s="152"/>
      <c r="R396" s="152"/>
    </row>
    <row r="397">
      <c r="E397" s="151"/>
      <c r="F397" s="265"/>
      <c r="G397" s="107"/>
      <c r="H397" s="264"/>
      <c r="J397" s="148"/>
      <c r="K397" s="107"/>
      <c r="L397" s="265"/>
      <c r="M397" s="182"/>
      <c r="N397" s="152"/>
      <c r="O397" s="152"/>
      <c r="P397" s="152"/>
      <c r="Q397" s="152"/>
      <c r="R397" s="152"/>
    </row>
    <row r="398">
      <c r="E398" s="151"/>
      <c r="F398" s="265"/>
      <c r="G398" s="107"/>
      <c r="H398" s="264"/>
      <c r="J398" s="148"/>
      <c r="K398" s="107"/>
      <c r="L398" s="265"/>
      <c r="M398" s="182"/>
      <c r="N398" s="152"/>
      <c r="O398" s="152"/>
      <c r="P398" s="152"/>
      <c r="Q398" s="152"/>
      <c r="R398" s="152"/>
    </row>
    <row r="399">
      <c r="E399" s="151"/>
      <c r="F399" s="265"/>
      <c r="G399" s="107"/>
      <c r="H399" s="264"/>
      <c r="J399" s="148"/>
      <c r="K399" s="107"/>
      <c r="L399" s="265"/>
      <c r="M399" s="182"/>
      <c r="N399" s="152"/>
      <c r="O399" s="152"/>
      <c r="P399" s="152"/>
      <c r="Q399" s="152"/>
      <c r="R399" s="152"/>
    </row>
    <row r="400">
      <c r="E400" s="151"/>
      <c r="F400" s="265"/>
      <c r="G400" s="107"/>
      <c r="H400" s="264"/>
      <c r="J400" s="148"/>
      <c r="K400" s="107"/>
      <c r="L400" s="265"/>
      <c r="M400" s="182"/>
      <c r="N400" s="152"/>
      <c r="O400" s="152"/>
      <c r="P400" s="152"/>
      <c r="Q400" s="152"/>
      <c r="R400" s="152"/>
    </row>
    <row r="401">
      <c r="E401" s="151"/>
      <c r="F401" s="265"/>
      <c r="G401" s="107"/>
      <c r="H401" s="264"/>
      <c r="J401" s="148"/>
      <c r="K401" s="107"/>
      <c r="L401" s="265"/>
      <c r="M401" s="182"/>
      <c r="N401" s="152"/>
      <c r="O401" s="152"/>
      <c r="P401" s="152"/>
      <c r="Q401" s="152"/>
      <c r="R401" s="152"/>
    </row>
    <row r="402">
      <c r="E402" s="151"/>
      <c r="F402" s="265"/>
      <c r="G402" s="107"/>
      <c r="H402" s="264"/>
      <c r="J402" s="148"/>
      <c r="K402" s="107"/>
      <c r="L402" s="265"/>
      <c r="M402" s="182"/>
      <c r="N402" s="152"/>
      <c r="O402" s="152"/>
      <c r="P402" s="152"/>
      <c r="Q402" s="152"/>
      <c r="R402" s="152"/>
    </row>
    <row r="403">
      <c r="E403" s="151"/>
      <c r="F403" s="265"/>
      <c r="G403" s="107"/>
      <c r="H403" s="264"/>
      <c r="J403" s="148"/>
      <c r="K403" s="107"/>
      <c r="L403" s="265"/>
      <c r="M403" s="182"/>
      <c r="N403" s="152"/>
      <c r="O403" s="152"/>
      <c r="P403" s="152"/>
      <c r="Q403" s="152"/>
      <c r="R403" s="152"/>
    </row>
    <row r="404">
      <c r="E404" s="151"/>
      <c r="F404" s="265"/>
      <c r="G404" s="107"/>
      <c r="H404" s="264"/>
      <c r="J404" s="148"/>
      <c r="K404" s="107"/>
      <c r="L404" s="265"/>
      <c r="M404" s="182"/>
      <c r="N404" s="152"/>
      <c r="O404" s="152"/>
      <c r="P404" s="152"/>
      <c r="Q404" s="152"/>
      <c r="R404" s="152"/>
    </row>
    <row r="405">
      <c r="E405" s="151"/>
      <c r="F405" s="265"/>
      <c r="G405" s="107"/>
      <c r="H405" s="264"/>
      <c r="J405" s="148"/>
      <c r="K405" s="107"/>
      <c r="L405" s="265"/>
      <c r="M405" s="182"/>
      <c r="N405" s="152"/>
      <c r="O405" s="152"/>
      <c r="P405" s="152"/>
      <c r="Q405" s="152"/>
      <c r="R405" s="152"/>
    </row>
    <row r="406">
      <c r="E406" s="151"/>
      <c r="F406" s="265"/>
      <c r="G406" s="107"/>
      <c r="H406" s="264"/>
      <c r="J406" s="148"/>
      <c r="K406" s="107"/>
      <c r="L406" s="265"/>
      <c r="M406" s="182"/>
      <c r="N406" s="152"/>
      <c r="O406" s="152"/>
      <c r="P406" s="152"/>
      <c r="Q406" s="152"/>
      <c r="R406" s="152"/>
    </row>
    <row r="407">
      <c r="E407" s="151"/>
      <c r="F407" s="265"/>
      <c r="G407" s="107"/>
      <c r="H407" s="264"/>
      <c r="J407" s="148"/>
      <c r="K407" s="107"/>
      <c r="L407" s="265"/>
      <c r="M407" s="182"/>
      <c r="N407" s="152"/>
      <c r="O407" s="152"/>
      <c r="P407" s="152"/>
      <c r="Q407" s="152"/>
      <c r="R407" s="152"/>
    </row>
    <row r="408">
      <c r="E408" s="151"/>
      <c r="F408" s="265"/>
      <c r="G408" s="107"/>
      <c r="H408" s="264"/>
      <c r="J408" s="148"/>
      <c r="K408" s="107"/>
      <c r="L408" s="265"/>
      <c r="M408" s="182"/>
      <c r="N408" s="152"/>
      <c r="O408" s="152"/>
      <c r="P408" s="152"/>
      <c r="Q408" s="152"/>
      <c r="R408" s="152"/>
    </row>
    <row r="409">
      <c r="E409" s="151"/>
      <c r="F409" s="265"/>
      <c r="G409" s="107"/>
      <c r="H409" s="264"/>
      <c r="J409" s="148"/>
      <c r="K409" s="107"/>
      <c r="L409" s="265"/>
      <c r="M409" s="182"/>
      <c r="N409" s="152"/>
      <c r="O409" s="152"/>
      <c r="P409" s="152"/>
      <c r="Q409" s="152"/>
      <c r="R409" s="152"/>
    </row>
    <row r="410">
      <c r="E410" s="151"/>
      <c r="F410" s="265"/>
      <c r="G410" s="107"/>
      <c r="H410" s="264"/>
      <c r="J410" s="148"/>
      <c r="K410" s="107"/>
      <c r="L410" s="265"/>
      <c r="M410" s="182"/>
      <c r="N410" s="152"/>
      <c r="O410" s="152"/>
      <c r="P410" s="152"/>
      <c r="Q410" s="152"/>
      <c r="R410" s="152"/>
    </row>
    <row r="411">
      <c r="E411" s="151"/>
      <c r="F411" s="265"/>
      <c r="G411" s="107"/>
      <c r="H411" s="264"/>
      <c r="J411" s="148"/>
      <c r="K411" s="107"/>
      <c r="L411" s="265"/>
      <c r="M411" s="182"/>
      <c r="N411" s="152"/>
      <c r="O411" s="152"/>
      <c r="P411" s="152"/>
      <c r="Q411" s="152"/>
      <c r="R411" s="152"/>
    </row>
    <row r="412">
      <c r="E412" s="151"/>
      <c r="F412" s="265"/>
      <c r="G412" s="107"/>
      <c r="H412" s="264"/>
      <c r="J412" s="148"/>
      <c r="K412" s="107"/>
      <c r="L412" s="265"/>
      <c r="M412" s="182"/>
      <c r="N412" s="152"/>
      <c r="O412" s="152"/>
      <c r="P412" s="152"/>
      <c r="Q412" s="152"/>
      <c r="R412" s="152"/>
    </row>
    <row r="413">
      <c r="E413" s="151"/>
      <c r="F413" s="265"/>
      <c r="G413" s="107"/>
      <c r="H413" s="264"/>
      <c r="J413" s="148"/>
      <c r="K413" s="107"/>
      <c r="L413" s="265"/>
      <c r="M413" s="182"/>
      <c r="N413" s="152"/>
      <c r="O413" s="152"/>
      <c r="P413" s="152"/>
      <c r="Q413" s="152"/>
      <c r="R413" s="152"/>
    </row>
    <row r="414">
      <c r="E414" s="151"/>
      <c r="F414" s="265"/>
      <c r="G414" s="107"/>
      <c r="H414" s="264"/>
      <c r="J414" s="148"/>
      <c r="K414" s="107"/>
      <c r="L414" s="265"/>
      <c r="M414" s="182"/>
      <c r="N414" s="152"/>
      <c r="O414" s="152"/>
      <c r="P414" s="152"/>
      <c r="Q414" s="152"/>
      <c r="R414" s="152"/>
    </row>
    <row r="415">
      <c r="E415" s="151"/>
      <c r="F415" s="265"/>
      <c r="G415" s="107"/>
      <c r="H415" s="264"/>
      <c r="J415" s="148"/>
      <c r="K415" s="107"/>
      <c r="L415" s="265"/>
      <c r="M415" s="182"/>
      <c r="N415" s="152"/>
      <c r="O415" s="152"/>
      <c r="P415" s="152"/>
      <c r="Q415" s="152"/>
      <c r="R415" s="152"/>
    </row>
    <row r="416">
      <c r="E416" s="151"/>
      <c r="F416" s="265"/>
      <c r="G416" s="107"/>
      <c r="H416" s="264"/>
      <c r="J416" s="148"/>
      <c r="K416" s="107"/>
      <c r="L416" s="265"/>
      <c r="M416" s="182"/>
      <c r="N416" s="152"/>
      <c r="O416" s="152"/>
      <c r="P416" s="152"/>
      <c r="Q416" s="152"/>
      <c r="R416" s="152"/>
    </row>
    <row r="417">
      <c r="E417" s="151"/>
      <c r="F417" s="265"/>
      <c r="G417" s="107"/>
      <c r="H417" s="264"/>
      <c r="J417" s="148"/>
      <c r="K417" s="107"/>
      <c r="L417" s="265"/>
      <c r="M417" s="182"/>
      <c r="N417" s="152"/>
      <c r="O417" s="152"/>
      <c r="P417" s="152"/>
      <c r="Q417" s="152"/>
      <c r="R417" s="152"/>
    </row>
    <row r="418">
      <c r="E418" s="151"/>
      <c r="F418" s="265"/>
      <c r="G418" s="107"/>
      <c r="H418" s="264"/>
      <c r="J418" s="148"/>
      <c r="K418" s="107"/>
      <c r="L418" s="265"/>
      <c r="M418" s="182"/>
      <c r="N418" s="152"/>
      <c r="O418" s="152"/>
      <c r="P418" s="152"/>
      <c r="Q418" s="152"/>
      <c r="R418" s="152"/>
    </row>
    <row r="419">
      <c r="E419" s="151"/>
      <c r="F419" s="265"/>
      <c r="G419" s="107"/>
      <c r="H419" s="264"/>
      <c r="J419" s="148"/>
      <c r="K419" s="107"/>
      <c r="L419" s="265"/>
      <c r="M419" s="182"/>
      <c r="N419" s="152"/>
      <c r="O419" s="152"/>
      <c r="P419" s="152"/>
      <c r="Q419" s="152"/>
      <c r="R419" s="152"/>
    </row>
    <row r="420">
      <c r="E420" s="151"/>
      <c r="F420" s="265"/>
      <c r="G420" s="107"/>
      <c r="H420" s="264"/>
      <c r="J420" s="148"/>
      <c r="K420" s="107"/>
      <c r="L420" s="265"/>
      <c r="M420" s="182"/>
      <c r="N420" s="152"/>
      <c r="O420" s="152"/>
      <c r="P420" s="152"/>
      <c r="Q420" s="152"/>
      <c r="R420" s="152"/>
    </row>
    <row r="421">
      <c r="E421" s="151"/>
      <c r="F421" s="265"/>
      <c r="G421" s="107"/>
      <c r="H421" s="264"/>
      <c r="J421" s="148"/>
      <c r="K421" s="107"/>
      <c r="L421" s="265"/>
      <c r="M421" s="182"/>
      <c r="N421" s="152"/>
      <c r="O421" s="152"/>
      <c r="P421" s="152"/>
      <c r="Q421" s="152"/>
      <c r="R421" s="152"/>
    </row>
    <row r="422">
      <c r="E422" s="151"/>
      <c r="F422" s="265"/>
      <c r="G422" s="107"/>
      <c r="H422" s="264"/>
      <c r="J422" s="148"/>
      <c r="K422" s="107"/>
      <c r="L422" s="265"/>
      <c r="M422" s="182"/>
      <c r="N422" s="152"/>
      <c r="O422" s="152"/>
      <c r="P422" s="152"/>
      <c r="Q422" s="152"/>
      <c r="R422" s="152"/>
    </row>
    <row r="423">
      <c r="E423" s="151"/>
      <c r="F423" s="265"/>
      <c r="G423" s="107"/>
      <c r="H423" s="264"/>
      <c r="J423" s="148"/>
      <c r="K423" s="107"/>
      <c r="L423" s="265"/>
      <c r="M423" s="182"/>
      <c r="N423" s="152"/>
      <c r="O423" s="152"/>
      <c r="P423" s="152"/>
      <c r="Q423" s="152"/>
      <c r="R423" s="152"/>
    </row>
    <row r="424">
      <c r="E424" s="151"/>
      <c r="F424" s="265"/>
      <c r="G424" s="107"/>
      <c r="H424" s="264"/>
      <c r="J424" s="148"/>
      <c r="K424" s="107"/>
      <c r="L424" s="265"/>
      <c r="M424" s="182"/>
      <c r="N424" s="152"/>
      <c r="O424" s="152"/>
      <c r="P424" s="152"/>
      <c r="Q424" s="152"/>
      <c r="R424" s="152"/>
    </row>
    <row r="425">
      <c r="E425" s="151"/>
      <c r="F425" s="265"/>
      <c r="G425" s="107"/>
      <c r="H425" s="264"/>
      <c r="J425" s="148"/>
      <c r="K425" s="107"/>
      <c r="L425" s="265"/>
      <c r="M425" s="182"/>
      <c r="N425" s="152"/>
      <c r="O425" s="152"/>
      <c r="P425" s="152"/>
      <c r="Q425" s="152"/>
      <c r="R425" s="152"/>
    </row>
    <row r="426">
      <c r="E426" s="151"/>
      <c r="F426" s="265"/>
      <c r="G426" s="107"/>
      <c r="H426" s="264"/>
      <c r="J426" s="148"/>
      <c r="K426" s="107"/>
      <c r="L426" s="265"/>
      <c r="M426" s="182"/>
      <c r="N426" s="152"/>
      <c r="O426" s="152"/>
      <c r="P426" s="152"/>
      <c r="Q426" s="152"/>
      <c r="R426" s="152"/>
    </row>
    <row r="427">
      <c r="E427" s="151"/>
      <c r="F427" s="265"/>
      <c r="G427" s="107"/>
      <c r="H427" s="264"/>
      <c r="J427" s="148"/>
      <c r="K427" s="107"/>
      <c r="L427" s="265"/>
      <c r="M427" s="182"/>
      <c r="N427" s="152"/>
      <c r="O427" s="152"/>
      <c r="P427" s="152"/>
      <c r="Q427" s="152"/>
      <c r="R427" s="152"/>
    </row>
    <row r="428">
      <c r="E428" s="151"/>
      <c r="F428" s="265"/>
      <c r="G428" s="107"/>
      <c r="H428" s="264"/>
      <c r="J428" s="148"/>
      <c r="K428" s="107"/>
      <c r="L428" s="265"/>
      <c r="M428" s="182"/>
      <c r="N428" s="152"/>
      <c r="O428" s="152"/>
      <c r="P428" s="152"/>
      <c r="Q428" s="152"/>
      <c r="R428" s="152"/>
    </row>
    <row r="429">
      <c r="E429" s="151"/>
      <c r="F429" s="265"/>
      <c r="G429" s="107"/>
      <c r="H429" s="264"/>
      <c r="J429" s="148"/>
      <c r="K429" s="107"/>
      <c r="L429" s="265"/>
      <c r="M429" s="182"/>
      <c r="N429" s="152"/>
      <c r="O429" s="152"/>
      <c r="P429" s="152"/>
      <c r="Q429" s="152"/>
      <c r="R429" s="152"/>
    </row>
    <row r="430">
      <c r="E430" s="151"/>
      <c r="F430" s="265"/>
      <c r="G430" s="107"/>
      <c r="H430" s="264"/>
      <c r="J430" s="148"/>
      <c r="K430" s="107"/>
      <c r="L430" s="265"/>
      <c r="M430" s="182"/>
      <c r="N430" s="152"/>
      <c r="O430" s="152"/>
      <c r="P430" s="152"/>
      <c r="Q430" s="152"/>
      <c r="R430" s="152"/>
    </row>
    <row r="431">
      <c r="E431" s="151"/>
      <c r="F431" s="265"/>
      <c r="G431" s="107"/>
      <c r="H431" s="264"/>
      <c r="J431" s="148"/>
      <c r="K431" s="107"/>
      <c r="L431" s="265"/>
      <c r="M431" s="182"/>
      <c r="N431" s="152"/>
      <c r="O431" s="152"/>
      <c r="P431" s="152"/>
      <c r="Q431" s="152"/>
      <c r="R431" s="152"/>
    </row>
    <row r="432">
      <c r="E432" s="151"/>
      <c r="F432" s="265"/>
      <c r="G432" s="107"/>
      <c r="H432" s="264"/>
      <c r="J432" s="148"/>
      <c r="K432" s="107"/>
      <c r="L432" s="265"/>
      <c r="M432" s="182"/>
      <c r="N432" s="152"/>
      <c r="O432" s="152"/>
      <c r="P432" s="152"/>
      <c r="Q432" s="152"/>
      <c r="R432" s="152"/>
    </row>
    <row r="433">
      <c r="E433" s="151"/>
      <c r="F433" s="265"/>
      <c r="G433" s="107"/>
      <c r="H433" s="264"/>
      <c r="J433" s="148"/>
      <c r="K433" s="107"/>
      <c r="L433" s="265"/>
      <c r="M433" s="182"/>
      <c r="N433" s="152"/>
      <c r="O433" s="152"/>
      <c r="P433" s="152"/>
      <c r="Q433" s="152"/>
      <c r="R433" s="152"/>
    </row>
    <row r="434">
      <c r="E434" s="151"/>
      <c r="F434" s="265"/>
      <c r="G434" s="107"/>
      <c r="H434" s="264"/>
      <c r="J434" s="148"/>
      <c r="K434" s="107"/>
      <c r="L434" s="265"/>
      <c r="M434" s="182"/>
      <c r="N434" s="152"/>
      <c r="O434" s="152"/>
      <c r="P434" s="152"/>
      <c r="Q434" s="152"/>
      <c r="R434" s="152"/>
    </row>
    <row r="435">
      <c r="E435" s="151"/>
      <c r="F435" s="265"/>
      <c r="G435" s="107"/>
      <c r="H435" s="264"/>
      <c r="J435" s="148"/>
      <c r="K435" s="107"/>
      <c r="L435" s="265"/>
      <c r="M435" s="182"/>
      <c r="N435" s="152"/>
      <c r="O435" s="152"/>
      <c r="P435" s="152"/>
      <c r="Q435" s="152"/>
      <c r="R435" s="152"/>
    </row>
    <row r="436">
      <c r="E436" s="151"/>
      <c r="F436" s="265"/>
      <c r="G436" s="107"/>
      <c r="H436" s="264"/>
      <c r="J436" s="148"/>
      <c r="K436" s="107"/>
      <c r="L436" s="265"/>
      <c r="M436" s="182"/>
      <c r="N436" s="152"/>
      <c r="O436" s="152"/>
      <c r="P436" s="152"/>
      <c r="Q436" s="152"/>
      <c r="R436" s="152"/>
    </row>
    <row r="437">
      <c r="E437" s="151"/>
      <c r="F437" s="265"/>
      <c r="G437" s="107"/>
      <c r="H437" s="264"/>
      <c r="J437" s="148"/>
      <c r="K437" s="107"/>
      <c r="L437" s="265"/>
      <c r="M437" s="182"/>
      <c r="N437" s="152"/>
      <c r="O437" s="152"/>
      <c r="P437" s="152"/>
      <c r="Q437" s="152"/>
      <c r="R437" s="152"/>
    </row>
    <row r="438">
      <c r="E438" s="151"/>
      <c r="F438" s="265"/>
      <c r="G438" s="107"/>
      <c r="H438" s="264"/>
      <c r="J438" s="148"/>
      <c r="K438" s="107"/>
      <c r="L438" s="265"/>
      <c r="M438" s="182"/>
      <c r="N438" s="152"/>
      <c r="O438" s="152"/>
      <c r="P438" s="152"/>
      <c r="Q438" s="152"/>
      <c r="R438" s="152"/>
    </row>
    <row r="439">
      <c r="E439" s="151"/>
      <c r="F439" s="265"/>
      <c r="G439" s="107"/>
      <c r="H439" s="264"/>
      <c r="J439" s="148"/>
      <c r="K439" s="107"/>
      <c r="L439" s="265"/>
      <c r="M439" s="182"/>
      <c r="N439" s="152"/>
      <c r="O439" s="152"/>
      <c r="P439" s="152"/>
      <c r="Q439" s="152"/>
      <c r="R439" s="152"/>
    </row>
    <row r="440">
      <c r="E440" s="151"/>
      <c r="F440" s="265"/>
      <c r="G440" s="107"/>
      <c r="H440" s="264"/>
      <c r="J440" s="148"/>
      <c r="K440" s="107"/>
      <c r="L440" s="265"/>
      <c r="M440" s="182"/>
      <c r="N440" s="152"/>
      <c r="O440" s="152"/>
      <c r="P440" s="152"/>
      <c r="Q440" s="152"/>
      <c r="R440" s="152"/>
    </row>
    <row r="441">
      <c r="E441" s="151"/>
      <c r="F441" s="265"/>
      <c r="G441" s="107"/>
      <c r="H441" s="264"/>
      <c r="J441" s="148"/>
      <c r="K441" s="107"/>
      <c r="L441" s="265"/>
      <c r="M441" s="182"/>
      <c r="N441" s="152"/>
      <c r="O441" s="152"/>
      <c r="P441" s="152"/>
      <c r="Q441" s="152"/>
      <c r="R441" s="152"/>
    </row>
    <row r="442">
      <c r="E442" s="151"/>
      <c r="F442" s="265"/>
      <c r="G442" s="107"/>
      <c r="H442" s="264"/>
      <c r="J442" s="148"/>
      <c r="K442" s="107"/>
      <c r="L442" s="265"/>
      <c r="M442" s="182"/>
      <c r="N442" s="152"/>
      <c r="O442" s="152"/>
      <c r="P442" s="152"/>
      <c r="Q442" s="152"/>
      <c r="R442" s="152"/>
    </row>
    <row r="443">
      <c r="E443" s="151"/>
      <c r="F443" s="265"/>
      <c r="G443" s="107"/>
      <c r="H443" s="264"/>
      <c r="J443" s="148"/>
      <c r="K443" s="107"/>
      <c r="L443" s="265"/>
      <c r="M443" s="182"/>
      <c r="N443" s="152"/>
      <c r="O443" s="152"/>
      <c r="P443" s="152"/>
      <c r="Q443" s="152"/>
      <c r="R443" s="152"/>
    </row>
    <row r="444">
      <c r="E444" s="151"/>
      <c r="F444" s="265"/>
      <c r="G444" s="107"/>
      <c r="H444" s="264"/>
      <c r="J444" s="148"/>
      <c r="K444" s="107"/>
      <c r="L444" s="265"/>
      <c r="M444" s="182"/>
      <c r="N444" s="152"/>
      <c r="O444" s="152"/>
      <c r="P444" s="152"/>
      <c r="Q444" s="152"/>
      <c r="R444" s="152"/>
    </row>
    <row r="445">
      <c r="E445" s="151"/>
      <c r="F445" s="265"/>
      <c r="G445" s="107"/>
      <c r="H445" s="264"/>
      <c r="J445" s="148"/>
      <c r="K445" s="107"/>
      <c r="L445" s="265"/>
      <c r="M445" s="182"/>
      <c r="N445" s="152"/>
      <c r="O445" s="152"/>
      <c r="P445" s="152"/>
      <c r="Q445" s="152"/>
      <c r="R445" s="152"/>
    </row>
    <row r="446">
      <c r="E446" s="151"/>
      <c r="F446" s="265"/>
      <c r="G446" s="107"/>
      <c r="H446" s="264"/>
      <c r="J446" s="148"/>
      <c r="K446" s="107"/>
      <c r="L446" s="265"/>
      <c r="M446" s="182"/>
      <c r="N446" s="152"/>
      <c r="O446" s="152"/>
      <c r="P446" s="152"/>
      <c r="Q446" s="152"/>
      <c r="R446" s="152"/>
    </row>
    <row r="447">
      <c r="E447" s="151"/>
      <c r="F447" s="265"/>
      <c r="G447" s="107"/>
      <c r="H447" s="264"/>
      <c r="J447" s="148"/>
      <c r="K447" s="107"/>
      <c r="L447" s="265"/>
      <c r="M447" s="182"/>
      <c r="N447" s="152"/>
      <c r="O447" s="152"/>
      <c r="P447" s="152"/>
      <c r="Q447" s="152"/>
      <c r="R447" s="152"/>
    </row>
    <row r="448">
      <c r="E448" s="151"/>
      <c r="F448" s="265"/>
      <c r="G448" s="107"/>
      <c r="H448" s="264"/>
      <c r="J448" s="148"/>
      <c r="K448" s="107"/>
      <c r="L448" s="265"/>
      <c r="M448" s="182"/>
      <c r="N448" s="152"/>
      <c r="O448" s="152"/>
      <c r="P448" s="152"/>
      <c r="Q448" s="152"/>
      <c r="R448" s="152"/>
    </row>
    <row r="449">
      <c r="E449" s="151"/>
      <c r="F449" s="265"/>
      <c r="G449" s="107"/>
      <c r="H449" s="264"/>
      <c r="J449" s="148"/>
      <c r="K449" s="107"/>
      <c r="L449" s="265"/>
      <c r="M449" s="182"/>
      <c r="N449" s="152"/>
      <c r="O449" s="152"/>
      <c r="P449" s="152"/>
      <c r="Q449" s="152"/>
      <c r="R449" s="152"/>
    </row>
    <row r="450">
      <c r="E450" s="151"/>
      <c r="F450" s="265"/>
      <c r="G450" s="107"/>
      <c r="H450" s="264"/>
      <c r="J450" s="148"/>
      <c r="K450" s="107"/>
      <c r="L450" s="265"/>
      <c r="M450" s="182"/>
      <c r="N450" s="152"/>
      <c r="O450" s="152"/>
      <c r="P450" s="152"/>
      <c r="Q450" s="152"/>
      <c r="R450" s="152"/>
    </row>
    <row r="451">
      <c r="E451" s="151"/>
      <c r="F451" s="265"/>
      <c r="G451" s="107"/>
      <c r="H451" s="264"/>
      <c r="J451" s="148"/>
      <c r="K451" s="107"/>
      <c r="L451" s="265"/>
      <c r="M451" s="182"/>
      <c r="N451" s="152"/>
      <c r="O451" s="152"/>
      <c r="P451" s="152"/>
      <c r="Q451" s="152"/>
      <c r="R451" s="152"/>
    </row>
    <row r="452">
      <c r="E452" s="151"/>
      <c r="F452" s="265"/>
      <c r="G452" s="107"/>
      <c r="H452" s="264"/>
      <c r="J452" s="148"/>
      <c r="K452" s="107"/>
      <c r="L452" s="265"/>
      <c r="M452" s="182"/>
      <c r="N452" s="152"/>
      <c r="O452" s="152"/>
      <c r="P452" s="152"/>
      <c r="Q452" s="152"/>
      <c r="R452" s="152"/>
    </row>
    <row r="453">
      <c r="E453" s="151"/>
      <c r="F453" s="265"/>
      <c r="G453" s="107"/>
      <c r="H453" s="264"/>
      <c r="J453" s="148"/>
      <c r="K453" s="107"/>
      <c r="L453" s="265"/>
      <c r="M453" s="182"/>
      <c r="N453" s="152"/>
      <c r="O453" s="152"/>
      <c r="P453" s="152"/>
      <c r="Q453" s="152"/>
      <c r="R453" s="152"/>
    </row>
    <row r="454">
      <c r="E454" s="151"/>
      <c r="F454" s="265"/>
      <c r="G454" s="107"/>
      <c r="H454" s="264"/>
      <c r="J454" s="148"/>
      <c r="K454" s="107"/>
      <c r="L454" s="265"/>
      <c r="M454" s="182"/>
      <c r="N454" s="152"/>
      <c r="O454" s="152"/>
      <c r="P454" s="152"/>
      <c r="Q454" s="152"/>
      <c r="R454" s="152"/>
    </row>
    <row r="455">
      <c r="E455" s="151"/>
      <c r="F455" s="265"/>
      <c r="G455" s="107"/>
      <c r="H455" s="264"/>
      <c r="J455" s="148"/>
      <c r="K455" s="107"/>
      <c r="L455" s="265"/>
      <c r="M455" s="182"/>
      <c r="N455" s="152"/>
      <c r="O455" s="152"/>
      <c r="P455" s="152"/>
      <c r="Q455" s="152"/>
      <c r="R455" s="152"/>
    </row>
    <row r="456">
      <c r="E456" s="151"/>
      <c r="F456" s="265"/>
      <c r="G456" s="107"/>
      <c r="H456" s="264"/>
      <c r="J456" s="148"/>
      <c r="K456" s="107"/>
      <c r="L456" s="265"/>
      <c r="M456" s="182"/>
      <c r="N456" s="152"/>
      <c r="O456" s="152"/>
      <c r="P456" s="152"/>
      <c r="Q456" s="152"/>
      <c r="R456" s="152"/>
    </row>
    <row r="457">
      <c r="E457" s="151"/>
      <c r="F457" s="265"/>
      <c r="G457" s="107"/>
      <c r="H457" s="264"/>
      <c r="J457" s="148"/>
      <c r="K457" s="107"/>
      <c r="L457" s="265"/>
      <c r="M457" s="182"/>
      <c r="N457" s="152"/>
      <c r="O457" s="152"/>
      <c r="P457" s="152"/>
      <c r="Q457" s="152"/>
      <c r="R457" s="152"/>
    </row>
    <row r="458">
      <c r="E458" s="151"/>
      <c r="F458" s="265"/>
      <c r="G458" s="107"/>
      <c r="H458" s="264"/>
      <c r="J458" s="148"/>
      <c r="K458" s="107"/>
      <c r="L458" s="265"/>
      <c r="M458" s="182"/>
      <c r="N458" s="152"/>
      <c r="O458" s="152"/>
      <c r="P458" s="152"/>
      <c r="Q458" s="152"/>
      <c r="R458" s="152"/>
    </row>
    <row r="459">
      <c r="E459" s="151"/>
      <c r="F459" s="265"/>
      <c r="G459" s="107"/>
      <c r="H459" s="264"/>
      <c r="J459" s="148"/>
      <c r="K459" s="107"/>
      <c r="L459" s="265"/>
      <c r="M459" s="182"/>
      <c r="N459" s="152"/>
      <c r="O459" s="152"/>
      <c r="P459" s="152"/>
      <c r="Q459" s="152"/>
      <c r="R459" s="152"/>
    </row>
    <row r="460">
      <c r="E460" s="151"/>
      <c r="F460" s="265"/>
      <c r="G460" s="107"/>
      <c r="H460" s="264"/>
      <c r="J460" s="148"/>
      <c r="K460" s="107"/>
      <c r="L460" s="265"/>
      <c r="M460" s="182"/>
      <c r="N460" s="152"/>
      <c r="O460" s="152"/>
      <c r="P460" s="152"/>
      <c r="Q460" s="152"/>
      <c r="R460" s="152"/>
    </row>
    <row r="461">
      <c r="E461" s="151"/>
      <c r="F461" s="265"/>
      <c r="G461" s="107"/>
      <c r="H461" s="264"/>
      <c r="J461" s="148"/>
      <c r="K461" s="107"/>
      <c r="L461" s="265"/>
      <c r="M461" s="182"/>
      <c r="N461" s="152"/>
      <c r="O461" s="152"/>
      <c r="P461" s="152"/>
      <c r="Q461" s="152"/>
      <c r="R461" s="152"/>
    </row>
    <row r="462">
      <c r="E462" s="151"/>
      <c r="F462" s="265"/>
      <c r="G462" s="107"/>
      <c r="H462" s="264"/>
      <c r="J462" s="148"/>
      <c r="K462" s="107"/>
      <c r="L462" s="265"/>
      <c r="M462" s="182"/>
      <c r="N462" s="152"/>
      <c r="O462" s="152"/>
      <c r="P462" s="152"/>
      <c r="Q462" s="152"/>
      <c r="R462" s="152"/>
    </row>
    <row r="463">
      <c r="E463" s="151"/>
      <c r="F463" s="265"/>
      <c r="G463" s="107"/>
      <c r="H463" s="264"/>
      <c r="J463" s="148"/>
      <c r="K463" s="107"/>
      <c r="L463" s="265"/>
      <c r="M463" s="182"/>
      <c r="N463" s="152"/>
      <c r="O463" s="152"/>
      <c r="P463" s="152"/>
      <c r="Q463" s="152"/>
      <c r="R463" s="152"/>
    </row>
    <row r="464">
      <c r="E464" s="151"/>
      <c r="F464" s="265"/>
      <c r="G464" s="107"/>
      <c r="H464" s="264"/>
      <c r="J464" s="148"/>
      <c r="K464" s="107"/>
      <c r="L464" s="265"/>
      <c r="M464" s="182"/>
      <c r="N464" s="152"/>
      <c r="O464" s="152"/>
      <c r="P464" s="152"/>
      <c r="Q464" s="152"/>
      <c r="R464" s="152"/>
    </row>
    <row r="465">
      <c r="E465" s="151"/>
      <c r="F465" s="265"/>
      <c r="G465" s="107"/>
      <c r="H465" s="264"/>
      <c r="I465" s="223"/>
      <c r="J465" s="148"/>
      <c r="K465" s="107"/>
      <c r="L465" s="265"/>
      <c r="M465" s="182"/>
      <c r="N465" s="152"/>
      <c r="O465" s="152"/>
      <c r="P465" s="152"/>
      <c r="Q465" s="152"/>
      <c r="R465" s="152"/>
    </row>
    <row r="466">
      <c r="E466" s="151"/>
      <c r="F466" s="265"/>
      <c r="G466" s="107"/>
      <c r="H466" s="264"/>
      <c r="I466" s="223"/>
      <c r="J466" s="148"/>
      <c r="K466" s="107"/>
      <c r="L466" s="265"/>
      <c r="M466" s="182"/>
      <c r="N466" s="152"/>
      <c r="O466" s="152"/>
      <c r="P466" s="152"/>
      <c r="Q466" s="152"/>
      <c r="R466" s="152"/>
    </row>
    <row r="467">
      <c r="E467" s="151"/>
      <c r="F467" s="265"/>
      <c r="G467" s="107"/>
      <c r="H467" s="264"/>
      <c r="I467" s="223"/>
      <c r="J467" s="148"/>
      <c r="K467" s="107"/>
      <c r="L467" s="265"/>
      <c r="M467" s="182"/>
      <c r="N467" s="152"/>
      <c r="O467" s="152"/>
      <c r="P467" s="152"/>
      <c r="Q467" s="152"/>
      <c r="R467" s="152"/>
    </row>
    <row r="468">
      <c r="E468" s="151"/>
      <c r="F468" s="265"/>
      <c r="G468" s="107"/>
      <c r="H468" s="264"/>
      <c r="I468" s="223"/>
      <c r="J468" s="148"/>
      <c r="K468" s="107"/>
      <c r="L468" s="265"/>
      <c r="M468" s="182"/>
      <c r="N468" s="152"/>
      <c r="O468" s="152"/>
      <c r="P468" s="152"/>
      <c r="Q468" s="152"/>
      <c r="R468" s="152"/>
    </row>
    <row r="469">
      <c r="E469" s="151"/>
      <c r="F469" s="265"/>
      <c r="G469" s="107"/>
      <c r="H469" s="264"/>
      <c r="I469" s="223"/>
      <c r="J469" s="148"/>
      <c r="K469" s="107"/>
      <c r="L469" s="265"/>
      <c r="M469" s="182"/>
      <c r="N469" s="152"/>
      <c r="O469" s="152"/>
      <c r="P469" s="152"/>
      <c r="Q469" s="152"/>
      <c r="R469" s="152"/>
    </row>
    <row r="470">
      <c r="E470" s="151"/>
      <c r="F470" s="265"/>
      <c r="G470" s="107"/>
      <c r="H470" s="264"/>
      <c r="I470" s="223"/>
      <c r="J470" s="148"/>
      <c r="K470" s="107"/>
      <c r="L470" s="265"/>
      <c r="M470" s="182"/>
      <c r="N470" s="152"/>
      <c r="O470" s="152"/>
      <c r="P470" s="152"/>
      <c r="Q470" s="152"/>
      <c r="R470" s="152"/>
    </row>
    <row r="471">
      <c r="E471" s="151"/>
      <c r="F471" s="265"/>
      <c r="G471" s="107"/>
      <c r="H471" s="264"/>
      <c r="I471" s="223"/>
      <c r="J471" s="148"/>
      <c r="K471" s="107"/>
      <c r="L471" s="265"/>
      <c r="M471" s="182"/>
      <c r="N471" s="152"/>
      <c r="O471" s="152"/>
      <c r="P471" s="152"/>
      <c r="Q471" s="152"/>
      <c r="R471" s="152"/>
    </row>
    <row r="472">
      <c r="E472" s="151"/>
      <c r="F472" s="265"/>
      <c r="G472" s="107"/>
      <c r="H472" s="264"/>
      <c r="I472" s="223"/>
      <c r="J472" s="148"/>
      <c r="K472" s="107"/>
      <c r="L472" s="265"/>
      <c r="M472" s="182"/>
      <c r="N472" s="152"/>
      <c r="O472" s="152"/>
      <c r="P472" s="152"/>
      <c r="Q472" s="152"/>
      <c r="R472" s="152"/>
    </row>
    <row r="473">
      <c r="E473" s="151"/>
      <c r="F473" s="265"/>
      <c r="G473" s="107"/>
      <c r="H473" s="264"/>
      <c r="I473" s="223"/>
      <c r="J473" s="148"/>
      <c r="K473" s="107"/>
      <c r="L473" s="265"/>
      <c r="M473" s="182"/>
      <c r="N473" s="152"/>
      <c r="O473" s="152"/>
      <c r="P473" s="152"/>
      <c r="Q473" s="152"/>
      <c r="R473" s="152"/>
    </row>
    <row r="474">
      <c r="E474" s="151"/>
      <c r="F474" s="265"/>
      <c r="G474" s="107"/>
      <c r="H474" s="264"/>
      <c r="I474" s="223"/>
      <c r="J474" s="148"/>
      <c r="K474" s="107"/>
      <c r="L474" s="265"/>
      <c r="M474" s="182"/>
      <c r="N474" s="152"/>
      <c r="O474" s="152"/>
      <c r="P474" s="152"/>
      <c r="Q474" s="152"/>
      <c r="R474" s="152"/>
    </row>
    <row r="475">
      <c r="E475" s="151"/>
      <c r="F475" s="265"/>
      <c r="G475" s="107"/>
      <c r="H475" s="264"/>
      <c r="I475" s="223"/>
      <c r="J475" s="148"/>
      <c r="K475" s="107"/>
      <c r="L475" s="265"/>
      <c r="M475" s="182"/>
      <c r="N475" s="152"/>
      <c r="O475" s="152"/>
      <c r="P475" s="152"/>
      <c r="Q475" s="152"/>
      <c r="R475" s="152"/>
    </row>
    <row r="476">
      <c r="E476" s="151"/>
      <c r="F476" s="265"/>
      <c r="G476" s="107"/>
      <c r="H476" s="264"/>
      <c r="I476" s="223"/>
      <c r="J476" s="148"/>
      <c r="K476" s="107"/>
      <c r="L476" s="265"/>
      <c r="M476" s="182"/>
      <c r="N476" s="152"/>
      <c r="O476" s="152"/>
      <c r="P476" s="152"/>
      <c r="Q476" s="152"/>
      <c r="R476" s="152"/>
    </row>
    <row r="477">
      <c r="E477" s="151"/>
      <c r="F477" s="265"/>
      <c r="G477" s="107"/>
      <c r="H477" s="264"/>
      <c r="I477" s="223"/>
      <c r="J477" s="148"/>
      <c r="K477" s="107"/>
      <c r="L477" s="265"/>
      <c r="M477" s="182"/>
      <c r="N477" s="152"/>
      <c r="O477" s="152"/>
      <c r="P477" s="152"/>
      <c r="Q477" s="152"/>
      <c r="R477" s="152"/>
    </row>
    <row r="478">
      <c r="E478" s="151"/>
      <c r="F478" s="265"/>
      <c r="G478" s="107"/>
      <c r="H478" s="264"/>
      <c r="I478" s="223"/>
      <c r="J478" s="148"/>
      <c r="K478" s="107"/>
      <c r="L478" s="265"/>
      <c r="M478" s="182"/>
      <c r="N478" s="152"/>
      <c r="O478" s="152"/>
      <c r="P478" s="152"/>
      <c r="Q478" s="152"/>
      <c r="R478" s="152"/>
    </row>
    <row r="479">
      <c r="E479" s="151"/>
      <c r="F479" s="265"/>
      <c r="G479" s="107"/>
      <c r="H479" s="264"/>
      <c r="I479" s="223"/>
      <c r="J479" s="148"/>
      <c r="K479" s="107"/>
      <c r="L479" s="265"/>
      <c r="M479" s="182"/>
      <c r="N479" s="152"/>
      <c r="O479" s="152"/>
      <c r="P479" s="152"/>
      <c r="Q479" s="152"/>
      <c r="R479" s="152"/>
    </row>
    <row r="480">
      <c r="E480" s="151"/>
      <c r="F480" s="265"/>
      <c r="G480" s="107"/>
      <c r="H480" s="264"/>
      <c r="I480" s="223"/>
      <c r="J480" s="148"/>
      <c r="K480" s="107"/>
      <c r="L480" s="265"/>
      <c r="M480" s="182"/>
      <c r="N480" s="152"/>
      <c r="O480" s="152"/>
      <c r="P480" s="152"/>
      <c r="Q480" s="152"/>
      <c r="R480" s="152"/>
    </row>
    <row r="481">
      <c r="E481" s="151"/>
      <c r="F481" s="265"/>
      <c r="G481" s="107"/>
      <c r="H481" s="264"/>
      <c r="I481" s="223"/>
      <c r="J481" s="148"/>
      <c r="K481" s="107"/>
      <c r="L481" s="265"/>
      <c r="M481" s="182"/>
      <c r="N481" s="152"/>
      <c r="O481" s="152"/>
      <c r="P481" s="152"/>
      <c r="Q481" s="152"/>
      <c r="R481" s="152"/>
    </row>
    <row r="482">
      <c r="E482" s="151"/>
      <c r="F482" s="265"/>
      <c r="G482" s="107"/>
      <c r="H482" s="264"/>
      <c r="I482" s="223"/>
      <c r="J482" s="148"/>
      <c r="K482" s="107"/>
      <c r="L482" s="265"/>
      <c r="M482" s="182"/>
      <c r="N482" s="152"/>
      <c r="O482" s="152"/>
      <c r="P482" s="152"/>
      <c r="Q482" s="152"/>
      <c r="R482" s="152"/>
    </row>
    <row r="483">
      <c r="E483" s="151"/>
      <c r="F483" s="265"/>
      <c r="G483" s="107"/>
      <c r="H483" s="264"/>
      <c r="I483" s="223"/>
      <c r="J483" s="148"/>
      <c r="K483" s="107"/>
      <c r="L483" s="265"/>
      <c r="M483" s="182"/>
      <c r="N483" s="152"/>
      <c r="O483" s="152"/>
      <c r="P483" s="152"/>
      <c r="Q483" s="152"/>
      <c r="R483" s="152"/>
    </row>
    <row r="484">
      <c r="E484" s="151"/>
      <c r="F484" s="265"/>
      <c r="G484" s="107"/>
      <c r="H484" s="264"/>
      <c r="I484" s="223"/>
      <c r="J484" s="148"/>
      <c r="K484" s="107"/>
      <c r="L484" s="265"/>
      <c r="M484" s="182"/>
      <c r="N484" s="152"/>
      <c r="O484" s="152"/>
      <c r="P484" s="152"/>
      <c r="Q484" s="152"/>
      <c r="R484" s="152"/>
    </row>
    <row r="485">
      <c r="E485" s="151"/>
      <c r="F485" s="265"/>
      <c r="G485" s="107"/>
      <c r="H485" s="264"/>
      <c r="I485" s="223"/>
      <c r="J485" s="148"/>
      <c r="K485" s="107"/>
      <c r="L485" s="265"/>
      <c r="M485" s="182"/>
      <c r="N485" s="152"/>
      <c r="O485" s="152"/>
      <c r="P485" s="152"/>
      <c r="Q485" s="152"/>
      <c r="R485" s="152"/>
    </row>
    <row r="486">
      <c r="E486" s="151"/>
      <c r="F486" s="265"/>
      <c r="G486" s="107"/>
      <c r="H486" s="264"/>
      <c r="I486" s="223"/>
      <c r="J486" s="148"/>
      <c r="K486" s="107"/>
      <c r="L486" s="265"/>
      <c r="M486" s="182"/>
      <c r="N486" s="152"/>
      <c r="O486" s="152"/>
      <c r="P486" s="152"/>
      <c r="Q486" s="152"/>
      <c r="R486" s="152"/>
    </row>
    <row r="487">
      <c r="E487" s="151"/>
      <c r="F487" s="265"/>
      <c r="G487" s="107"/>
      <c r="H487" s="264"/>
      <c r="I487" s="223"/>
      <c r="J487" s="148"/>
      <c r="K487" s="107"/>
      <c r="L487" s="265"/>
      <c r="M487" s="182"/>
      <c r="N487" s="152"/>
      <c r="O487" s="152"/>
      <c r="P487" s="152"/>
      <c r="Q487" s="152"/>
      <c r="R487" s="152"/>
    </row>
    <row r="488">
      <c r="E488" s="151"/>
      <c r="F488" s="265"/>
      <c r="G488" s="107"/>
      <c r="H488" s="264"/>
      <c r="I488" s="223"/>
      <c r="J488" s="148"/>
      <c r="K488" s="107"/>
      <c r="L488" s="265"/>
      <c r="M488" s="182"/>
      <c r="N488" s="152"/>
      <c r="O488" s="152"/>
      <c r="P488" s="152"/>
      <c r="Q488" s="152"/>
      <c r="R488" s="152"/>
    </row>
    <row r="489">
      <c r="E489" s="151"/>
      <c r="F489" s="265"/>
      <c r="G489" s="107"/>
      <c r="H489" s="264"/>
      <c r="I489" s="223"/>
      <c r="J489" s="148"/>
      <c r="K489" s="107"/>
      <c r="L489" s="265"/>
      <c r="M489" s="182"/>
      <c r="N489" s="152"/>
      <c r="O489" s="152"/>
      <c r="P489" s="152"/>
      <c r="Q489" s="152"/>
      <c r="R489" s="152"/>
    </row>
    <row r="490">
      <c r="E490" s="151"/>
      <c r="F490" s="265"/>
      <c r="G490" s="107"/>
      <c r="H490" s="264"/>
      <c r="I490" s="223"/>
      <c r="J490" s="148"/>
      <c r="K490" s="107"/>
      <c r="L490" s="265"/>
      <c r="M490" s="182"/>
      <c r="N490" s="152"/>
      <c r="O490" s="152"/>
      <c r="P490" s="152"/>
      <c r="Q490" s="152"/>
      <c r="R490" s="152"/>
    </row>
    <row r="491">
      <c r="E491" s="151"/>
      <c r="F491" s="265"/>
      <c r="G491" s="107"/>
      <c r="H491" s="264"/>
      <c r="I491" s="223"/>
      <c r="J491" s="148"/>
      <c r="K491" s="107"/>
      <c r="L491" s="265"/>
      <c r="M491" s="182"/>
      <c r="N491" s="152"/>
      <c r="O491" s="152"/>
      <c r="P491" s="152"/>
      <c r="Q491" s="152"/>
      <c r="R491" s="152"/>
    </row>
    <row r="492">
      <c r="E492" s="151"/>
      <c r="F492" s="265"/>
      <c r="G492" s="107"/>
      <c r="H492" s="264"/>
      <c r="I492" s="223"/>
      <c r="J492" s="148"/>
      <c r="K492" s="107"/>
      <c r="L492" s="265"/>
      <c r="M492" s="182"/>
      <c r="N492" s="152"/>
      <c r="O492" s="152"/>
      <c r="P492" s="152"/>
      <c r="Q492" s="152"/>
      <c r="R492" s="152"/>
    </row>
    <row r="493">
      <c r="E493" s="151"/>
      <c r="F493" s="265"/>
      <c r="G493" s="107"/>
      <c r="H493" s="264"/>
      <c r="I493" s="223"/>
      <c r="J493" s="148"/>
      <c r="K493" s="107"/>
      <c r="L493" s="265"/>
      <c r="M493" s="182"/>
      <c r="N493" s="152"/>
      <c r="O493" s="152"/>
      <c r="P493" s="152"/>
      <c r="Q493" s="152"/>
      <c r="R493" s="152"/>
    </row>
    <row r="494">
      <c r="E494" s="151"/>
      <c r="F494" s="265"/>
      <c r="G494" s="107"/>
      <c r="H494" s="264"/>
      <c r="I494" s="223"/>
      <c r="J494" s="148"/>
      <c r="K494" s="107"/>
      <c r="L494" s="265"/>
      <c r="M494" s="182"/>
      <c r="N494" s="152"/>
      <c r="O494" s="152"/>
      <c r="P494" s="152"/>
      <c r="Q494" s="152"/>
      <c r="R494" s="152"/>
    </row>
    <row r="495">
      <c r="E495" s="151"/>
      <c r="F495" s="265"/>
      <c r="G495" s="107"/>
      <c r="H495" s="264"/>
      <c r="I495" s="223"/>
      <c r="J495" s="148"/>
      <c r="K495" s="107"/>
      <c r="L495" s="265"/>
      <c r="M495" s="182"/>
      <c r="N495" s="152"/>
      <c r="O495" s="152"/>
      <c r="P495" s="152"/>
      <c r="Q495" s="152"/>
      <c r="R495" s="152"/>
    </row>
    <row r="496">
      <c r="E496" s="151"/>
      <c r="F496" s="265"/>
      <c r="G496" s="107"/>
      <c r="H496" s="264"/>
      <c r="I496" s="223"/>
      <c r="J496" s="148"/>
      <c r="K496" s="107"/>
      <c r="L496" s="265"/>
      <c r="M496" s="182"/>
      <c r="N496" s="152"/>
      <c r="O496" s="152"/>
      <c r="P496" s="152"/>
      <c r="Q496" s="152"/>
      <c r="R496" s="152"/>
    </row>
    <row r="497">
      <c r="E497" s="151"/>
      <c r="F497" s="265"/>
      <c r="G497" s="107"/>
      <c r="H497" s="264"/>
      <c r="I497" s="223"/>
      <c r="J497" s="148"/>
      <c r="K497" s="107"/>
      <c r="L497" s="265"/>
      <c r="M497" s="182"/>
      <c r="N497" s="152"/>
      <c r="O497" s="152"/>
      <c r="P497" s="152"/>
      <c r="Q497" s="152"/>
      <c r="R497" s="152"/>
    </row>
    <row r="498">
      <c r="E498" s="151"/>
      <c r="F498" s="265"/>
      <c r="G498" s="107"/>
      <c r="H498" s="264"/>
      <c r="I498" s="223"/>
      <c r="J498" s="148"/>
      <c r="K498" s="107"/>
      <c r="L498" s="265"/>
      <c r="M498" s="182"/>
      <c r="N498" s="152"/>
      <c r="O498" s="152"/>
      <c r="P498" s="152"/>
      <c r="Q498" s="152"/>
      <c r="R498" s="152"/>
    </row>
    <row r="499">
      <c r="E499" s="151"/>
      <c r="F499" s="265"/>
      <c r="G499" s="107"/>
      <c r="H499" s="264"/>
      <c r="I499" s="223"/>
      <c r="J499" s="148"/>
      <c r="K499" s="107"/>
      <c r="L499" s="265"/>
      <c r="M499" s="182"/>
      <c r="N499" s="152"/>
      <c r="O499" s="152"/>
      <c r="P499" s="152"/>
      <c r="Q499" s="152"/>
      <c r="R499" s="152"/>
    </row>
    <row r="500">
      <c r="E500" s="151"/>
      <c r="F500" s="265"/>
      <c r="G500" s="107"/>
      <c r="H500" s="264"/>
      <c r="I500" s="223"/>
      <c r="J500" s="148"/>
      <c r="K500" s="107"/>
      <c r="L500" s="265"/>
      <c r="M500" s="182"/>
      <c r="N500" s="152"/>
      <c r="O500" s="152"/>
      <c r="P500" s="152"/>
      <c r="Q500" s="152"/>
      <c r="R500" s="152"/>
    </row>
    <row r="501">
      <c r="E501" s="151"/>
      <c r="F501" s="265"/>
      <c r="G501" s="107"/>
      <c r="H501" s="264"/>
      <c r="I501" s="223"/>
      <c r="J501" s="148"/>
      <c r="K501" s="107"/>
      <c r="L501" s="265"/>
      <c r="M501" s="182"/>
      <c r="N501" s="152"/>
      <c r="O501" s="152"/>
      <c r="P501" s="152"/>
      <c r="Q501" s="152"/>
      <c r="R501" s="152"/>
    </row>
    <row r="502">
      <c r="E502" s="151"/>
      <c r="F502" s="265"/>
      <c r="G502" s="107"/>
      <c r="H502" s="264"/>
      <c r="I502" s="223"/>
      <c r="J502" s="148"/>
      <c r="K502" s="107"/>
      <c r="L502" s="265"/>
      <c r="M502" s="182"/>
      <c r="N502" s="152"/>
      <c r="O502" s="152"/>
      <c r="P502" s="152"/>
      <c r="Q502" s="152"/>
      <c r="R502" s="152"/>
    </row>
    <row r="503">
      <c r="E503" s="151"/>
      <c r="F503" s="265"/>
      <c r="G503" s="107"/>
      <c r="H503" s="264"/>
      <c r="I503" s="223"/>
      <c r="J503" s="148"/>
      <c r="K503" s="107"/>
      <c r="L503" s="265"/>
      <c r="M503" s="182"/>
      <c r="N503" s="152"/>
      <c r="O503" s="152"/>
      <c r="P503" s="152"/>
      <c r="Q503" s="152"/>
      <c r="R503" s="152"/>
    </row>
    <row r="504">
      <c r="E504" s="151"/>
      <c r="F504" s="265"/>
      <c r="G504" s="107"/>
      <c r="H504" s="264"/>
      <c r="I504" s="223"/>
      <c r="J504" s="148"/>
      <c r="K504" s="107"/>
      <c r="L504" s="265"/>
      <c r="M504" s="182"/>
      <c r="N504" s="152"/>
      <c r="O504" s="152"/>
      <c r="P504" s="152"/>
      <c r="Q504" s="152"/>
      <c r="R504" s="152"/>
    </row>
    <row r="505">
      <c r="E505" s="151"/>
      <c r="F505" s="265"/>
      <c r="G505" s="107"/>
      <c r="H505" s="264"/>
      <c r="I505" s="223"/>
      <c r="J505" s="148"/>
      <c r="K505" s="107"/>
      <c r="L505" s="265"/>
      <c r="M505" s="182"/>
      <c r="N505" s="152"/>
      <c r="O505" s="152"/>
      <c r="P505" s="152"/>
      <c r="Q505" s="152"/>
      <c r="R505" s="152"/>
    </row>
    <row r="506">
      <c r="E506" s="151"/>
      <c r="F506" s="265"/>
      <c r="G506" s="107"/>
      <c r="H506" s="264"/>
      <c r="I506" s="223"/>
      <c r="J506" s="148"/>
      <c r="K506" s="107"/>
      <c r="L506" s="265"/>
      <c r="M506" s="182"/>
      <c r="N506" s="152"/>
      <c r="O506" s="152"/>
      <c r="P506" s="152"/>
      <c r="Q506" s="152"/>
      <c r="R506" s="152"/>
    </row>
    <row r="507">
      <c r="E507" s="151"/>
      <c r="F507" s="265"/>
      <c r="G507" s="107"/>
      <c r="H507" s="264"/>
      <c r="I507" s="223"/>
      <c r="J507" s="148"/>
      <c r="K507" s="107"/>
      <c r="L507" s="265"/>
      <c r="M507" s="182"/>
      <c r="N507" s="152"/>
      <c r="O507" s="152"/>
      <c r="P507" s="152"/>
      <c r="Q507" s="152"/>
      <c r="R507" s="152"/>
    </row>
    <row r="508">
      <c r="E508" s="151"/>
      <c r="F508" s="265"/>
      <c r="G508" s="107"/>
      <c r="H508" s="264"/>
      <c r="I508" s="223"/>
      <c r="J508" s="148"/>
      <c r="K508" s="107"/>
      <c r="L508" s="265"/>
      <c r="M508" s="182"/>
      <c r="N508" s="152"/>
      <c r="O508" s="152"/>
      <c r="P508" s="152"/>
      <c r="Q508" s="152"/>
      <c r="R508" s="152"/>
    </row>
    <row r="509">
      <c r="E509" s="151"/>
      <c r="F509" s="265"/>
      <c r="G509" s="107"/>
      <c r="H509" s="264"/>
      <c r="I509" s="223"/>
      <c r="J509" s="148"/>
      <c r="K509" s="107"/>
      <c r="L509" s="265"/>
      <c r="M509" s="182"/>
      <c r="N509" s="152"/>
      <c r="O509" s="152"/>
      <c r="P509" s="152"/>
      <c r="Q509" s="152"/>
      <c r="R509" s="152"/>
    </row>
    <row r="510">
      <c r="E510" s="151"/>
      <c r="F510" s="265"/>
      <c r="G510" s="107"/>
      <c r="H510" s="264"/>
      <c r="I510" s="223"/>
      <c r="J510" s="148"/>
      <c r="K510" s="107"/>
      <c r="L510" s="265"/>
      <c r="M510" s="182"/>
      <c r="N510" s="152"/>
      <c r="O510" s="152"/>
      <c r="P510" s="152"/>
      <c r="Q510" s="152"/>
      <c r="R510" s="152"/>
    </row>
    <row r="511">
      <c r="E511" s="151"/>
      <c r="F511" s="265"/>
      <c r="G511" s="107"/>
      <c r="H511" s="264"/>
      <c r="I511" s="223"/>
      <c r="J511" s="148"/>
      <c r="K511" s="107"/>
      <c r="L511" s="265"/>
      <c r="M511" s="182"/>
      <c r="N511" s="152"/>
      <c r="O511" s="152"/>
      <c r="P511" s="152"/>
      <c r="Q511" s="152"/>
      <c r="R511" s="152"/>
    </row>
    <row r="512">
      <c r="E512" s="151"/>
      <c r="F512" s="265"/>
      <c r="G512" s="107"/>
      <c r="H512" s="264"/>
      <c r="I512" s="223"/>
      <c r="J512" s="148"/>
      <c r="K512" s="107"/>
      <c r="L512" s="265"/>
      <c r="M512" s="182"/>
      <c r="N512" s="152"/>
      <c r="O512" s="152"/>
      <c r="P512" s="152"/>
      <c r="Q512" s="152"/>
      <c r="R512" s="152"/>
    </row>
    <row r="513">
      <c r="E513" s="151"/>
      <c r="F513" s="265"/>
      <c r="G513" s="107"/>
      <c r="H513" s="264"/>
      <c r="I513" s="223"/>
      <c r="J513" s="148"/>
      <c r="K513" s="107"/>
      <c r="L513" s="265"/>
      <c r="M513" s="182"/>
      <c r="N513" s="152"/>
      <c r="O513" s="152"/>
      <c r="P513" s="152"/>
      <c r="Q513" s="152"/>
      <c r="R513" s="152"/>
    </row>
    <row r="514">
      <c r="E514" s="151"/>
      <c r="F514" s="265"/>
      <c r="G514" s="107"/>
      <c r="H514" s="264"/>
      <c r="I514" s="223"/>
      <c r="J514" s="148"/>
      <c r="K514" s="107"/>
      <c r="L514" s="265"/>
      <c r="M514" s="182"/>
      <c r="N514" s="152"/>
      <c r="O514" s="152"/>
      <c r="P514" s="152"/>
      <c r="Q514" s="152"/>
      <c r="R514" s="152"/>
    </row>
    <row r="515">
      <c r="E515" s="151"/>
      <c r="F515" s="265"/>
      <c r="G515" s="107"/>
      <c r="H515" s="264"/>
      <c r="I515" s="223"/>
      <c r="J515" s="148"/>
      <c r="K515" s="107"/>
      <c r="L515" s="265"/>
      <c r="M515" s="182"/>
      <c r="N515" s="152"/>
      <c r="O515" s="152"/>
      <c r="P515" s="152"/>
      <c r="Q515" s="152"/>
      <c r="R515" s="152"/>
    </row>
    <row r="516">
      <c r="E516" s="151"/>
      <c r="F516" s="265"/>
      <c r="G516" s="107"/>
      <c r="H516" s="264"/>
      <c r="I516" s="223"/>
      <c r="J516" s="148"/>
      <c r="K516" s="107"/>
      <c r="L516" s="265"/>
      <c r="M516" s="182"/>
      <c r="N516" s="152"/>
      <c r="O516" s="152"/>
      <c r="P516" s="152"/>
      <c r="Q516" s="152"/>
      <c r="R516" s="152"/>
    </row>
    <row r="517">
      <c r="E517" s="151"/>
      <c r="F517" s="265"/>
      <c r="G517" s="107"/>
      <c r="H517" s="264"/>
      <c r="I517" s="223"/>
      <c r="J517" s="148"/>
      <c r="K517" s="107"/>
      <c r="L517" s="265"/>
      <c r="M517" s="182"/>
      <c r="N517" s="152"/>
      <c r="O517" s="152"/>
      <c r="P517" s="152"/>
      <c r="Q517" s="152"/>
      <c r="R517" s="152"/>
    </row>
    <row r="518">
      <c r="E518" s="151"/>
      <c r="F518" s="265"/>
      <c r="G518" s="107"/>
      <c r="H518" s="264"/>
      <c r="I518" s="223"/>
      <c r="J518" s="148"/>
      <c r="K518" s="107"/>
      <c r="L518" s="265"/>
      <c r="M518" s="182"/>
      <c r="N518" s="152"/>
      <c r="O518" s="152"/>
      <c r="P518" s="152"/>
      <c r="Q518" s="152"/>
      <c r="R518" s="152"/>
    </row>
    <row r="519">
      <c r="E519" s="151"/>
      <c r="F519" s="265"/>
      <c r="G519" s="107"/>
      <c r="H519" s="264"/>
      <c r="I519" s="223"/>
      <c r="J519" s="148"/>
      <c r="K519" s="107"/>
      <c r="L519" s="265"/>
      <c r="M519" s="182"/>
      <c r="N519" s="152"/>
      <c r="O519" s="152"/>
      <c r="P519" s="152"/>
      <c r="Q519" s="152"/>
      <c r="R519" s="152"/>
    </row>
    <row r="520">
      <c r="E520" s="151"/>
      <c r="F520" s="265"/>
      <c r="G520" s="107"/>
      <c r="H520" s="264"/>
      <c r="I520" s="223"/>
      <c r="J520" s="148"/>
      <c r="K520" s="107"/>
      <c r="L520" s="265"/>
      <c r="M520" s="182"/>
      <c r="N520" s="152"/>
      <c r="O520" s="152"/>
      <c r="P520" s="152"/>
      <c r="Q520" s="152"/>
      <c r="R520" s="152"/>
    </row>
    <row r="521">
      <c r="E521" s="151"/>
      <c r="F521" s="265"/>
      <c r="G521" s="107"/>
      <c r="H521" s="264"/>
      <c r="I521" s="223"/>
      <c r="J521" s="148"/>
      <c r="K521" s="107"/>
      <c r="L521" s="265"/>
      <c r="M521" s="182"/>
      <c r="N521" s="152"/>
      <c r="O521" s="152"/>
      <c r="P521" s="152"/>
      <c r="Q521" s="152"/>
      <c r="R521" s="152"/>
    </row>
    <row r="522">
      <c r="E522" s="151"/>
      <c r="F522" s="265"/>
      <c r="G522" s="107"/>
      <c r="H522" s="264"/>
      <c r="I522" s="223"/>
      <c r="J522" s="148"/>
      <c r="K522" s="107"/>
      <c r="L522" s="265"/>
      <c r="M522" s="182"/>
      <c r="N522" s="152"/>
      <c r="O522" s="152"/>
      <c r="P522" s="152"/>
      <c r="Q522" s="152"/>
      <c r="R522" s="152"/>
    </row>
    <row r="523">
      <c r="E523" s="151"/>
      <c r="F523" s="265"/>
      <c r="G523" s="107"/>
      <c r="H523" s="264"/>
      <c r="I523" s="223"/>
      <c r="J523" s="148"/>
      <c r="K523" s="107"/>
      <c r="L523" s="265"/>
      <c r="M523" s="182"/>
      <c r="N523" s="152"/>
      <c r="O523" s="152"/>
      <c r="P523" s="152"/>
      <c r="Q523" s="152"/>
      <c r="R523" s="152"/>
    </row>
    <row r="524">
      <c r="E524" s="151"/>
      <c r="F524" s="265"/>
      <c r="G524" s="107"/>
      <c r="H524" s="264"/>
      <c r="I524" s="223"/>
      <c r="J524" s="148"/>
      <c r="K524" s="107"/>
      <c r="L524" s="265"/>
      <c r="M524" s="182"/>
      <c r="N524" s="152"/>
      <c r="O524" s="152"/>
      <c r="P524" s="152"/>
      <c r="Q524" s="152"/>
      <c r="R524" s="152"/>
    </row>
    <row r="525">
      <c r="E525" s="151"/>
      <c r="F525" s="265"/>
      <c r="G525" s="107"/>
      <c r="H525" s="264"/>
      <c r="I525" s="223"/>
      <c r="J525" s="148"/>
      <c r="K525" s="107"/>
      <c r="L525" s="265"/>
      <c r="M525" s="182"/>
      <c r="N525" s="152"/>
      <c r="O525" s="152"/>
      <c r="P525" s="152"/>
      <c r="Q525" s="152"/>
      <c r="R525" s="152"/>
    </row>
    <row r="526">
      <c r="E526" s="151"/>
      <c r="F526" s="265"/>
      <c r="G526" s="107"/>
      <c r="H526" s="264"/>
      <c r="I526" s="223"/>
      <c r="J526" s="148"/>
      <c r="K526" s="107"/>
      <c r="L526" s="265"/>
      <c r="M526" s="182"/>
      <c r="N526" s="152"/>
      <c r="O526" s="152"/>
      <c r="P526" s="152"/>
      <c r="Q526" s="152"/>
      <c r="R526" s="152"/>
    </row>
    <row r="527">
      <c r="E527" s="151"/>
      <c r="F527" s="265"/>
      <c r="G527" s="107"/>
      <c r="H527" s="264"/>
      <c r="I527" s="223"/>
      <c r="J527" s="148"/>
      <c r="K527" s="107"/>
      <c r="L527" s="265"/>
      <c r="M527" s="182"/>
      <c r="N527" s="152"/>
      <c r="O527" s="152"/>
      <c r="P527" s="152"/>
      <c r="Q527" s="152"/>
      <c r="R527" s="152"/>
    </row>
    <row r="528">
      <c r="E528" s="151"/>
      <c r="F528" s="265"/>
      <c r="G528" s="107"/>
      <c r="H528" s="264"/>
      <c r="I528" s="223"/>
      <c r="J528" s="148"/>
      <c r="K528" s="107"/>
      <c r="L528" s="265"/>
      <c r="M528" s="182"/>
      <c r="N528" s="152"/>
      <c r="O528" s="152"/>
      <c r="P528" s="152"/>
      <c r="Q528" s="152"/>
      <c r="R528" s="152"/>
    </row>
    <row r="529">
      <c r="E529" s="151"/>
      <c r="F529" s="265"/>
      <c r="G529" s="107"/>
      <c r="H529" s="264"/>
      <c r="I529" s="223"/>
      <c r="J529" s="148"/>
      <c r="K529" s="107"/>
      <c r="L529" s="265"/>
      <c r="M529" s="182"/>
      <c r="N529" s="152"/>
      <c r="O529" s="152"/>
      <c r="P529" s="152"/>
      <c r="Q529" s="152"/>
      <c r="R529" s="152"/>
    </row>
    <row r="530">
      <c r="E530" s="151"/>
      <c r="F530" s="265"/>
      <c r="G530" s="107"/>
      <c r="H530" s="264"/>
      <c r="I530" s="223"/>
      <c r="J530" s="148"/>
      <c r="K530" s="107"/>
      <c r="L530" s="265"/>
      <c r="M530" s="182"/>
      <c r="N530" s="152"/>
      <c r="O530" s="152"/>
      <c r="P530" s="152"/>
      <c r="Q530" s="152"/>
      <c r="R530" s="152"/>
    </row>
    <row r="531">
      <c r="E531" s="151"/>
      <c r="F531" s="265"/>
      <c r="G531" s="107"/>
      <c r="H531" s="264"/>
      <c r="I531" s="223"/>
      <c r="J531" s="148"/>
      <c r="K531" s="107"/>
      <c r="L531" s="265"/>
      <c r="M531" s="182"/>
      <c r="N531" s="152"/>
      <c r="O531" s="152"/>
      <c r="P531" s="152"/>
      <c r="Q531" s="152"/>
      <c r="R531" s="152"/>
    </row>
    <row r="532">
      <c r="E532" s="151"/>
      <c r="F532" s="265"/>
      <c r="G532" s="107"/>
      <c r="H532" s="264"/>
      <c r="I532" s="223"/>
      <c r="J532" s="148"/>
      <c r="K532" s="107"/>
      <c r="L532" s="265"/>
      <c r="M532" s="182"/>
      <c r="N532" s="152"/>
      <c r="O532" s="152"/>
      <c r="P532" s="152"/>
      <c r="Q532" s="152"/>
      <c r="R532" s="152"/>
    </row>
    <row r="533">
      <c r="E533" s="151"/>
      <c r="F533" s="265"/>
      <c r="G533" s="107"/>
      <c r="H533" s="264"/>
      <c r="I533" s="223"/>
      <c r="J533" s="148"/>
      <c r="K533" s="107"/>
      <c r="L533" s="265"/>
      <c r="M533" s="182"/>
      <c r="N533" s="152"/>
      <c r="O533" s="152"/>
      <c r="P533" s="152"/>
      <c r="Q533" s="152"/>
      <c r="R533" s="152"/>
    </row>
    <row r="534">
      <c r="E534" s="151"/>
      <c r="F534" s="265"/>
      <c r="G534" s="107"/>
      <c r="H534" s="264"/>
      <c r="I534" s="223"/>
      <c r="J534" s="148"/>
      <c r="K534" s="107"/>
      <c r="L534" s="265"/>
      <c r="M534" s="182"/>
      <c r="N534" s="152"/>
      <c r="O534" s="152"/>
      <c r="P534" s="152"/>
      <c r="Q534" s="152"/>
      <c r="R534" s="152"/>
    </row>
    <row r="535">
      <c r="E535" s="151"/>
      <c r="F535" s="265"/>
      <c r="G535" s="107"/>
      <c r="H535" s="264"/>
      <c r="I535" s="223"/>
      <c r="J535" s="148"/>
      <c r="K535" s="107"/>
      <c r="L535" s="265"/>
      <c r="M535" s="182"/>
      <c r="N535" s="152"/>
      <c r="O535" s="152"/>
      <c r="P535" s="152"/>
      <c r="Q535" s="152"/>
      <c r="R535" s="152"/>
    </row>
    <row r="536">
      <c r="E536" s="151"/>
      <c r="F536" s="265"/>
      <c r="G536" s="107"/>
      <c r="H536" s="264"/>
      <c r="I536" s="223"/>
      <c r="J536" s="148"/>
      <c r="K536" s="107"/>
      <c r="L536" s="265"/>
      <c r="M536" s="182"/>
      <c r="N536" s="152"/>
      <c r="O536" s="152"/>
      <c r="P536" s="152"/>
      <c r="Q536" s="152"/>
      <c r="R536" s="152"/>
    </row>
    <row r="537">
      <c r="E537" s="151"/>
      <c r="F537" s="265"/>
      <c r="G537" s="107"/>
      <c r="H537" s="264"/>
      <c r="I537" s="223"/>
      <c r="J537" s="148"/>
      <c r="K537" s="107"/>
      <c r="L537" s="265"/>
      <c r="M537" s="182"/>
      <c r="N537" s="152"/>
      <c r="O537" s="152"/>
      <c r="P537" s="152"/>
      <c r="Q537" s="152"/>
      <c r="R537" s="152"/>
    </row>
    <row r="538">
      <c r="E538" s="151"/>
      <c r="F538" s="265"/>
      <c r="G538" s="107"/>
      <c r="H538" s="264"/>
      <c r="I538" s="223"/>
      <c r="J538" s="148"/>
      <c r="K538" s="107"/>
      <c r="L538" s="265"/>
      <c r="M538" s="182"/>
      <c r="N538" s="152"/>
      <c r="O538" s="152"/>
      <c r="P538" s="152"/>
      <c r="Q538" s="152"/>
      <c r="R538" s="152"/>
    </row>
    <row r="539">
      <c r="E539" s="151"/>
      <c r="F539" s="265"/>
      <c r="G539" s="107"/>
      <c r="H539" s="264"/>
      <c r="I539" s="223"/>
      <c r="J539" s="148"/>
      <c r="K539" s="107"/>
      <c r="L539" s="265"/>
      <c r="M539" s="182"/>
      <c r="N539" s="152"/>
      <c r="O539" s="152"/>
      <c r="P539" s="152"/>
      <c r="Q539" s="152"/>
      <c r="R539" s="152"/>
    </row>
    <row r="540">
      <c r="E540" s="151"/>
      <c r="F540" s="265"/>
      <c r="G540" s="107"/>
      <c r="H540" s="264"/>
      <c r="I540" s="223"/>
      <c r="J540" s="148"/>
      <c r="K540" s="107"/>
      <c r="L540" s="265"/>
      <c r="M540" s="182"/>
      <c r="N540" s="152"/>
      <c r="O540" s="152"/>
      <c r="P540" s="152"/>
      <c r="Q540" s="152"/>
      <c r="R540" s="152"/>
    </row>
    <row r="541">
      <c r="E541" s="151"/>
      <c r="F541" s="265"/>
      <c r="G541" s="107"/>
      <c r="H541" s="264"/>
      <c r="I541" s="223"/>
      <c r="J541" s="148"/>
      <c r="K541" s="107"/>
      <c r="L541" s="265"/>
      <c r="M541" s="182"/>
      <c r="N541" s="152"/>
      <c r="O541" s="152"/>
      <c r="P541" s="152"/>
      <c r="Q541" s="152"/>
      <c r="R541" s="152"/>
    </row>
    <row r="542">
      <c r="E542" s="151"/>
      <c r="F542" s="265"/>
      <c r="G542" s="107"/>
      <c r="H542" s="264"/>
      <c r="I542" s="223"/>
      <c r="J542" s="148"/>
      <c r="K542" s="107"/>
      <c r="L542" s="265"/>
      <c r="M542" s="182"/>
      <c r="N542" s="152"/>
      <c r="O542" s="152"/>
      <c r="P542" s="152"/>
      <c r="Q542" s="152"/>
      <c r="R542" s="152"/>
    </row>
    <row r="543">
      <c r="E543" s="151"/>
      <c r="F543" s="265"/>
      <c r="G543" s="107"/>
      <c r="H543" s="264"/>
      <c r="I543" s="223"/>
      <c r="J543" s="148"/>
      <c r="K543" s="107"/>
      <c r="L543" s="265"/>
      <c r="M543" s="182"/>
      <c r="N543" s="152"/>
      <c r="O543" s="152"/>
      <c r="P543" s="152"/>
      <c r="Q543" s="152"/>
      <c r="R543" s="152"/>
    </row>
    <row r="544">
      <c r="E544" s="151"/>
      <c r="F544" s="265"/>
      <c r="G544" s="107"/>
      <c r="H544" s="264"/>
      <c r="I544" s="223"/>
      <c r="J544" s="148"/>
      <c r="K544" s="107"/>
      <c r="L544" s="265"/>
      <c r="M544" s="182"/>
      <c r="N544" s="152"/>
      <c r="O544" s="152"/>
      <c r="P544" s="152"/>
      <c r="Q544" s="152"/>
      <c r="R544" s="152"/>
    </row>
    <row r="545">
      <c r="E545" s="151"/>
      <c r="F545" s="265"/>
      <c r="G545" s="107"/>
      <c r="H545" s="264"/>
      <c r="I545" s="223"/>
      <c r="J545" s="148"/>
      <c r="K545" s="107"/>
      <c r="L545" s="265"/>
      <c r="M545" s="182"/>
      <c r="N545" s="152"/>
      <c r="O545" s="152"/>
      <c r="P545" s="152"/>
      <c r="Q545" s="152"/>
      <c r="R545" s="152"/>
    </row>
    <row r="546">
      <c r="E546" s="151"/>
      <c r="F546" s="265"/>
      <c r="G546" s="107"/>
      <c r="H546" s="264"/>
      <c r="I546" s="223"/>
      <c r="J546" s="148"/>
      <c r="K546" s="107"/>
      <c r="L546" s="265"/>
      <c r="M546" s="182"/>
      <c r="N546" s="152"/>
      <c r="O546" s="152"/>
      <c r="P546" s="152"/>
      <c r="Q546" s="152"/>
      <c r="R546" s="152"/>
    </row>
    <row r="547">
      <c r="E547" s="151"/>
      <c r="F547" s="265"/>
      <c r="G547" s="107"/>
      <c r="H547" s="264"/>
      <c r="I547" s="223"/>
      <c r="J547" s="148"/>
      <c r="K547" s="107"/>
      <c r="L547" s="265"/>
      <c r="M547" s="182"/>
      <c r="N547" s="152"/>
      <c r="O547" s="152"/>
      <c r="P547" s="152"/>
      <c r="Q547" s="152"/>
      <c r="R547" s="152"/>
    </row>
    <row r="548">
      <c r="E548" s="151"/>
      <c r="F548" s="265"/>
      <c r="G548" s="107"/>
      <c r="H548" s="264"/>
      <c r="I548" s="223"/>
      <c r="J548" s="148"/>
      <c r="K548" s="107"/>
      <c r="L548" s="265"/>
      <c r="M548" s="182"/>
      <c r="N548" s="152"/>
      <c r="O548" s="152"/>
      <c r="P548" s="152"/>
      <c r="Q548" s="152"/>
      <c r="R548" s="152"/>
    </row>
    <row r="549">
      <c r="E549" s="151"/>
      <c r="F549" s="265"/>
      <c r="G549" s="107"/>
      <c r="H549" s="264"/>
      <c r="I549" s="223"/>
      <c r="J549" s="148"/>
      <c r="K549" s="107"/>
      <c r="L549" s="265"/>
      <c r="M549" s="182"/>
      <c r="N549" s="152"/>
      <c r="O549" s="152"/>
      <c r="P549" s="152"/>
      <c r="Q549" s="152"/>
      <c r="R549" s="152"/>
    </row>
    <row r="550">
      <c r="E550" s="151"/>
      <c r="F550" s="265"/>
      <c r="G550" s="107"/>
      <c r="H550" s="264"/>
      <c r="I550" s="223"/>
      <c r="J550" s="148"/>
      <c r="K550" s="107"/>
      <c r="L550" s="265"/>
      <c r="M550" s="182"/>
      <c r="N550" s="152"/>
      <c r="O550" s="152"/>
      <c r="P550" s="152"/>
      <c r="Q550" s="152"/>
      <c r="R550" s="152"/>
    </row>
    <row r="551">
      <c r="E551" s="151"/>
      <c r="F551" s="265"/>
      <c r="G551" s="107"/>
      <c r="H551" s="264"/>
      <c r="I551" s="223"/>
      <c r="J551" s="148"/>
      <c r="K551" s="107"/>
      <c r="L551" s="265"/>
      <c r="M551" s="182"/>
      <c r="N551" s="152"/>
      <c r="O551" s="152"/>
      <c r="P551" s="152"/>
      <c r="Q551" s="152"/>
      <c r="R551" s="152"/>
    </row>
    <row r="552">
      <c r="E552" s="151"/>
      <c r="F552" s="265"/>
      <c r="G552" s="107"/>
      <c r="H552" s="264"/>
      <c r="I552" s="223"/>
      <c r="J552" s="148"/>
      <c r="K552" s="107"/>
      <c r="L552" s="265"/>
      <c r="M552" s="182"/>
      <c r="N552" s="152"/>
      <c r="O552" s="152"/>
      <c r="P552" s="152"/>
      <c r="Q552" s="152"/>
      <c r="R552" s="152"/>
    </row>
    <row r="553">
      <c r="E553" s="151"/>
      <c r="F553" s="265"/>
      <c r="G553" s="107"/>
      <c r="H553" s="264"/>
      <c r="I553" s="223"/>
      <c r="J553" s="148"/>
      <c r="K553" s="107"/>
      <c r="L553" s="265"/>
      <c r="M553" s="182"/>
      <c r="N553" s="152"/>
      <c r="O553" s="152"/>
      <c r="P553" s="152"/>
      <c r="Q553" s="152"/>
      <c r="R553" s="152"/>
    </row>
    <row r="554">
      <c r="E554" s="151"/>
      <c r="F554" s="265"/>
      <c r="G554" s="107"/>
      <c r="H554" s="264"/>
      <c r="I554" s="223"/>
      <c r="J554" s="148"/>
      <c r="K554" s="107"/>
      <c r="L554" s="265"/>
      <c r="M554" s="182"/>
      <c r="N554" s="152"/>
      <c r="O554" s="152"/>
      <c r="P554" s="152"/>
      <c r="Q554" s="152"/>
      <c r="R554" s="152"/>
    </row>
    <row r="555">
      <c r="E555" s="151"/>
      <c r="F555" s="265"/>
      <c r="G555" s="107"/>
      <c r="H555" s="264"/>
      <c r="I555" s="223"/>
      <c r="J555" s="148"/>
      <c r="K555" s="107"/>
      <c r="L555" s="265"/>
      <c r="M555" s="182"/>
      <c r="N555" s="152"/>
      <c r="O555" s="152"/>
      <c r="P555" s="152"/>
      <c r="Q555" s="152"/>
      <c r="R555" s="152"/>
    </row>
    <row r="556">
      <c r="E556" s="151"/>
      <c r="F556" s="265"/>
      <c r="G556" s="107"/>
      <c r="H556" s="264"/>
      <c r="I556" s="223"/>
      <c r="J556" s="148"/>
      <c r="K556" s="107"/>
      <c r="L556" s="265"/>
      <c r="M556" s="182"/>
      <c r="N556" s="152"/>
      <c r="O556" s="152"/>
      <c r="P556" s="152"/>
      <c r="Q556" s="152"/>
      <c r="R556" s="152"/>
    </row>
    <row r="557">
      <c r="E557" s="151"/>
      <c r="F557" s="265"/>
      <c r="G557" s="107"/>
      <c r="H557" s="264"/>
      <c r="I557" s="223"/>
      <c r="J557" s="148"/>
      <c r="K557" s="107"/>
      <c r="L557" s="265"/>
      <c r="M557" s="182"/>
      <c r="N557" s="152"/>
      <c r="O557" s="152"/>
      <c r="P557" s="152"/>
      <c r="Q557" s="152"/>
      <c r="R557" s="152"/>
    </row>
    <row r="558">
      <c r="E558" s="151"/>
      <c r="F558" s="265"/>
      <c r="G558" s="107"/>
      <c r="H558" s="264"/>
      <c r="I558" s="223"/>
      <c r="J558" s="148"/>
      <c r="K558" s="107"/>
      <c r="L558" s="265"/>
      <c r="M558" s="182"/>
      <c r="N558" s="152"/>
      <c r="O558" s="152"/>
      <c r="P558" s="152"/>
      <c r="Q558" s="152"/>
      <c r="R558" s="152"/>
    </row>
    <row r="559">
      <c r="E559" s="151"/>
      <c r="F559" s="265"/>
      <c r="G559" s="107"/>
      <c r="H559" s="264"/>
      <c r="I559" s="223"/>
      <c r="J559" s="148"/>
      <c r="K559" s="107"/>
      <c r="L559" s="265"/>
      <c r="M559" s="182"/>
      <c r="N559" s="152"/>
      <c r="O559" s="152"/>
      <c r="P559" s="152"/>
      <c r="Q559" s="152"/>
      <c r="R559" s="152"/>
    </row>
    <row r="560">
      <c r="E560" s="151"/>
      <c r="F560" s="265"/>
      <c r="G560" s="107"/>
      <c r="H560" s="264"/>
      <c r="I560" s="223"/>
      <c r="J560" s="148"/>
      <c r="K560" s="107"/>
      <c r="L560" s="265"/>
      <c r="M560" s="182"/>
      <c r="N560" s="152"/>
      <c r="O560" s="152"/>
      <c r="P560" s="152"/>
      <c r="Q560" s="152"/>
      <c r="R560" s="152"/>
    </row>
    <row r="561">
      <c r="E561" s="151"/>
      <c r="F561" s="265"/>
      <c r="G561" s="107"/>
      <c r="H561" s="264"/>
      <c r="I561" s="223"/>
      <c r="J561" s="148"/>
      <c r="K561" s="107"/>
      <c r="L561" s="265"/>
      <c r="M561" s="182"/>
      <c r="N561" s="152"/>
      <c r="O561" s="152"/>
      <c r="P561" s="152"/>
      <c r="Q561" s="152"/>
      <c r="R561" s="152"/>
    </row>
    <row r="562">
      <c r="E562" s="151"/>
      <c r="F562" s="265"/>
      <c r="G562" s="107"/>
      <c r="H562" s="264"/>
      <c r="I562" s="223"/>
      <c r="J562" s="148"/>
      <c r="K562" s="107"/>
      <c r="L562" s="265"/>
      <c r="M562" s="182"/>
      <c r="N562" s="152"/>
      <c r="O562" s="152"/>
      <c r="P562" s="152"/>
      <c r="Q562" s="152"/>
      <c r="R562" s="152"/>
    </row>
    <row r="563">
      <c r="E563" s="151"/>
      <c r="F563" s="265"/>
      <c r="G563" s="107"/>
      <c r="H563" s="264"/>
      <c r="I563" s="223"/>
      <c r="J563" s="148"/>
      <c r="K563" s="107"/>
      <c r="L563" s="265"/>
      <c r="M563" s="182"/>
      <c r="N563" s="152"/>
      <c r="O563" s="152"/>
      <c r="P563" s="152"/>
      <c r="Q563" s="152"/>
      <c r="R563" s="152"/>
    </row>
    <row r="564">
      <c r="E564" s="151"/>
      <c r="F564" s="265"/>
      <c r="G564" s="107"/>
      <c r="H564" s="264"/>
      <c r="I564" s="223"/>
      <c r="J564" s="148"/>
      <c r="K564" s="107"/>
      <c r="L564" s="265"/>
      <c r="M564" s="182"/>
      <c r="N564" s="152"/>
      <c r="O564" s="152"/>
      <c r="P564" s="152"/>
      <c r="Q564" s="152"/>
      <c r="R564" s="152"/>
    </row>
    <row r="565">
      <c r="E565" s="151"/>
      <c r="F565" s="265"/>
      <c r="G565" s="107"/>
      <c r="H565" s="264"/>
      <c r="I565" s="223"/>
      <c r="J565" s="148"/>
      <c r="K565" s="107"/>
      <c r="L565" s="265"/>
      <c r="M565" s="182"/>
      <c r="N565" s="152"/>
      <c r="O565" s="152"/>
      <c r="P565" s="152"/>
      <c r="Q565" s="152"/>
      <c r="R565" s="152"/>
    </row>
    <row r="566">
      <c r="E566" s="151"/>
      <c r="F566" s="265"/>
      <c r="G566" s="107"/>
      <c r="H566" s="264"/>
      <c r="I566" s="223"/>
      <c r="J566" s="148"/>
      <c r="K566" s="107"/>
      <c r="L566" s="265"/>
      <c r="M566" s="182"/>
      <c r="N566" s="152"/>
      <c r="O566" s="152"/>
      <c r="P566" s="152"/>
      <c r="Q566" s="152"/>
      <c r="R566" s="152"/>
    </row>
    <row r="567">
      <c r="E567" s="151"/>
      <c r="F567" s="265"/>
      <c r="G567" s="107"/>
      <c r="H567" s="264"/>
      <c r="I567" s="223"/>
      <c r="J567" s="148"/>
      <c r="K567" s="107"/>
      <c r="L567" s="265"/>
      <c r="M567" s="182"/>
      <c r="N567" s="152"/>
      <c r="O567" s="152"/>
      <c r="P567" s="152"/>
      <c r="Q567" s="152"/>
      <c r="R567" s="152"/>
    </row>
    <row r="568">
      <c r="E568" s="151"/>
      <c r="F568" s="265"/>
      <c r="G568" s="107"/>
      <c r="H568" s="264"/>
      <c r="I568" s="223"/>
      <c r="J568" s="148"/>
      <c r="K568" s="107"/>
      <c r="L568" s="265"/>
      <c r="M568" s="182"/>
      <c r="N568" s="152"/>
      <c r="O568" s="152"/>
      <c r="P568" s="152"/>
      <c r="Q568" s="152"/>
      <c r="R568" s="152"/>
    </row>
    <row r="569">
      <c r="E569" s="151"/>
      <c r="F569" s="265"/>
      <c r="G569" s="107"/>
      <c r="H569" s="264"/>
      <c r="I569" s="223"/>
      <c r="J569" s="148"/>
      <c r="K569" s="107"/>
      <c r="L569" s="265"/>
      <c r="M569" s="182"/>
      <c r="N569" s="152"/>
      <c r="O569" s="152"/>
      <c r="P569" s="152"/>
      <c r="Q569" s="152"/>
      <c r="R569" s="152"/>
    </row>
    <row r="570">
      <c r="E570" s="151"/>
      <c r="F570" s="265"/>
      <c r="G570" s="107"/>
      <c r="H570" s="264"/>
      <c r="I570" s="223"/>
      <c r="J570" s="148"/>
      <c r="K570" s="107"/>
      <c r="L570" s="265"/>
      <c r="M570" s="182"/>
      <c r="N570" s="152"/>
      <c r="O570" s="152"/>
      <c r="P570" s="152"/>
      <c r="Q570" s="152"/>
      <c r="R570" s="152"/>
    </row>
    <row r="571">
      <c r="E571" s="151"/>
      <c r="F571" s="265"/>
      <c r="G571" s="107"/>
      <c r="H571" s="264"/>
      <c r="I571" s="223"/>
      <c r="J571" s="148"/>
      <c r="K571" s="107"/>
      <c r="L571" s="265"/>
      <c r="M571" s="182"/>
      <c r="N571" s="152"/>
      <c r="O571" s="152"/>
      <c r="P571" s="152"/>
      <c r="Q571" s="152"/>
      <c r="R571" s="152"/>
    </row>
    <row r="572">
      <c r="E572" s="151"/>
      <c r="F572" s="265"/>
      <c r="G572" s="107"/>
      <c r="H572" s="264"/>
      <c r="I572" s="223"/>
      <c r="J572" s="148"/>
      <c r="K572" s="107"/>
      <c r="L572" s="265"/>
      <c r="M572" s="182"/>
      <c r="N572" s="152"/>
      <c r="O572" s="152"/>
      <c r="P572" s="152"/>
      <c r="Q572" s="152"/>
      <c r="R572" s="152"/>
    </row>
    <row r="573">
      <c r="E573" s="151"/>
      <c r="F573" s="265"/>
      <c r="G573" s="107"/>
      <c r="H573" s="264"/>
      <c r="I573" s="223"/>
      <c r="J573" s="148"/>
      <c r="K573" s="107"/>
      <c r="L573" s="265"/>
      <c r="M573" s="182"/>
      <c r="N573" s="152"/>
      <c r="O573" s="152"/>
      <c r="P573" s="152"/>
      <c r="Q573" s="152"/>
      <c r="R573" s="152"/>
    </row>
    <row r="574">
      <c r="E574" s="151"/>
      <c r="F574" s="265"/>
      <c r="G574" s="107"/>
      <c r="H574" s="264"/>
      <c r="I574" s="223"/>
      <c r="J574" s="148"/>
      <c r="K574" s="107"/>
      <c r="L574" s="265"/>
      <c r="M574" s="182"/>
      <c r="N574" s="152"/>
      <c r="O574" s="152"/>
      <c r="P574" s="152"/>
      <c r="Q574" s="152"/>
      <c r="R574" s="152"/>
    </row>
    <row r="575">
      <c r="E575" s="151"/>
      <c r="F575" s="265"/>
      <c r="G575" s="107"/>
      <c r="H575" s="264"/>
      <c r="I575" s="223"/>
      <c r="J575" s="148"/>
      <c r="K575" s="107"/>
      <c r="L575" s="265"/>
      <c r="M575" s="182"/>
      <c r="N575" s="152"/>
      <c r="O575" s="152"/>
      <c r="P575" s="152"/>
      <c r="Q575" s="152"/>
      <c r="R575" s="152"/>
    </row>
    <row r="576">
      <c r="E576" s="151"/>
      <c r="F576" s="265"/>
      <c r="G576" s="107"/>
      <c r="H576" s="264"/>
      <c r="I576" s="223"/>
      <c r="J576" s="148"/>
      <c r="K576" s="107"/>
      <c r="L576" s="265"/>
      <c r="M576" s="182"/>
      <c r="N576" s="152"/>
      <c r="O576" s="152"/>
      <c r="P576" s="152"/>
      <c r="Q576" s="152"/>
      <c r="R576" s="152"/>
    </row>
    <row r="577">
      <c r="E577" s="151"/>
      <c r="F577" s="265"/>
      <c r="G577" s="107"/>
      <c r="H577" s="264"/>
      <c r="I577" s="223"/>
      <c r="J577" s="148"/>
      <c r="K577" s="107"/>
      <c r="L577" s="265"/>
      <c r="M577" s="182"/>
      <c r="N577" s="152"/>
      <c r="O577" s="152"/>
      <c r="P577" s="152"/>
      <c r="Q577" s="152"/>
      <c r="R577" s="152"/>
    </row>
    <row r="578">
      <c r="E578" s="151"/>
      <c r="F578" s="265"/>
      <c r="G578" s="107"/>
      <c r="H578" s="264"/>
      <c r="I578" s="223"/>
      <c r="J578" s="148"/>
      <c r="K578" s="107"/>
      <c r="L578" s="265"/>
      <c r="M578" s="182"/>
      <c r="N578" s="152"/>
      <c r="O578" s="152"/>
      <c r="P578" s="152"/>
      <c r="Q578" s="152"/>
      <c r="R578" s="152"/>
    </row>
    <row r="579">
      <c r="E579" s="151"/>
      <c r="F579" s="265"/>
      <c r="G579" s="107"/>
      <c r="H579" s="264"/>
      <c r="I579" s="223"/>
      <c r="J579" s="148"/>
      <c r="K579" s="107"/>
      <c r="L579" s="265"/>
      <c r="M579" s="182"/>
      <c r="N579" s="152"/>
      <c r="O579" s="152"/>
      <c r="P579" s="152"/>
      <c r="Q579" s="152"/>
      <c r="R579" s="152"/>
    </row>
    <row r="580">
      <c r="E580" s="151"/>
      <c r="F580" s="265"/>
      <c r="G580" s="107"/>
      <c r="H580" s="264"/>
      <c r="I580" s="223"/>
      <c r="J580" s="148"/>
      <c r="K580" s="107"/>
      <c r="L580" s="265"/>
      <c r="M580" s="182"/>
      <c r="N580" s="152"/>
      <c r="O580" s="152"/>
      <c r="P580" s="152"/>
      <c r="Q580" s="152"/>
      <c r="R580" s="152"/>
    </row>
    <row r="581">
      <c r="E581" s="151"/>
      <c r="F581" s="265"/>
      <c r="G581" s="107"/>
      <c r="H581" s="264"/>
      <c r="I581" s="223"/>
      <c r="J581" s="148"/>
      <c r="K581" s="107"/>
      <c r="L581" s="265"/>
      <c r="M581" s="182"/>
      <c r="N581" s="152"/>
      <c r="O581" s="152"/>
      <c r="P581" s="152"/>
      <c r="Q581" s="152"/>
      <c r="R581" s="152"/>
    </row>
    <row r="582">
      <c r="E582" s="151"/>
      <c r="F582" s="265"/>
      <c r="G582" s="107"/>
      <c r="H582" s="264"/>
      <c r="I582" s="223"/>
      <c r="J582" s="148"/>
      <c r="K582" s="107"/>
      <c r="L582" s="265"/>
      <c r="M582" s="182"/>
      <c r="N582" s="152"/>
      <c r="O582" s="152"/>
      <c r="P582" s="152"/>
      <c r="Q582" s="152"/>
      <c r="R582" s="152"/>
    </row>
    <row r="583">
      <c r="E583" s="151"/>
      <c r="F583" s="265"/>
      <c r="G583" s="107"/>
      <c r="H583" s="264"/>
      <c r="I583" s="223"/>
      <c r="J583" s="148"/>
      <c r="K583" s="107"/>
      <c r="L583" s="265"/>
      <c r="M583" s="182"/>
      <c r="N583" s="152"/>
      <c r="O583" s="152"/>
      <c r="P583" s="152"/>
      <c r="Q583" s="152"/>
      <c r="R583" s="152"/>
    </row>
    <row r="584">
      <c r="E584" s="151"/>
      <c r="F584" s="265"/>
      <c r="G584" s="107"/>
      <c r="H584" s="264"/>
      <c r="I584" s="223"/>
      <c r="J584" s="148"/>
      <c r="K584" s="107"/>
      <c r="L584" s="265"/>
      <c r="M584" s="182"/>
      <c r="N584" s="152"/>
      <c r="O584" s="152"/>
      <c r="P584" s="152"/>
      <c r="Q584" s="152"/>
      <c r="R584" s="152"/>
    </row>
    <row r="585">
      <c r="E585" s="151"/>
      <c r="F585" s="265"/>
      <c r="G585" s="107"/>
      <c r="H585" s="264"/>
      <c r="I585" s="223"/>
      <c r="J585" s="148"/>
      <c r="K585" s="107"/>
      <c r="L585" s="265"/>
      <c r="M585" s="182"/>
      <c r="N585" s="152"/>
      <c r="O585" s="152"/>
      <c r="P585" s="152"/>
      <c r="Q585" s="152"/>
      <c r="R585" s="152"/>
    </row>
    <row r="586">
      <c r="E586" s="151"/>
      <c r="F586" s="265"/>
      <c r="G586" s="107"/>
      <c r="H586" s="264"/>
      <c r="I586" s="223"/>
      <c r="J586" s="148"/>
      <c r="K586" s="107"/>
      <c r="L586" s="265"/>
      <c r="M586" s="182"/>
      <c r="N586" s="152"/>
      <c r="O586" s="152"/>
      <c r="P586" s="152"/>
      <c r="Q586" s="152"/>
      <c r="R586" s="152"/>
    </row>
    <row r="587">
      <c r="E587" s="151"/>
      <c r="F587" s="265"/>
      <c r="G587" s="107"/>
      <c r="H587" s="264"/>
      <c r="I587" s="223"/>
      <c r="J587" s="148"/>
      <c r="K587" s="107"/>
      <c r="L587" s="265"/>
      <c r="M587" s="182"/>
      <c r="N587" s="152"/>
      <c r="O587" s="152"/>
      <c r="P587" s="152"/>
      <c r="Q587" s="152"/>
      <c r="R587" s="152"/>
    </row>
    <row r="588">
      <c r="E588" s="151"/>
      <c r="F588" s="265"/>
      <c r="G588" s="107"/>
      <c r="H588" s="264"/>
      <c r="I588" s="223"/>
      <c r="J588" s="148"/>
      <c r="K588" s="107"/>
      <c r="L588" s="265"/>
      <c r="M588" s="182"/>
      <c r="N588" s="152"/>
      <c r="O588" s="152"/>
      <c r="P588" s="152"/>
      <c r="Q588" s="152"/>
      <c r="R588" s="152"/>
    </row>
    <row r="589">
      <c r="E589" s="151"/>
      <c r="F589" s="265"/>
      <c r="G589" s="107"/>
      <c r="H589" s="264"/>
      <c r="I589" s="223"/>
      <c r="J589" s="148"/>
      <c r="K589" s="107"/>
      <c r="L589" s="265"/>
      <c r="M589" s="182"/>
      <c r="N589" s="152"/>
      <c r="O589" s="152"/>
      <c r="P589" s="152"/>
      <c r="Q589" s="152"/>
      <c r="R589" s="152"/>
    </row>
    <row r="590">
      <c r="E590" s="151"/>
      <c r="F590" s="265"/>
      <c r="G590" s="107"/>
      <c r="H590" s="264"/>
      <c r="I590" s="223"/>
      <c r="J590" s="148"/>
      <c r="K590" s="107"/>
      <c r="L590" s="265"/>
      <c r="M590" s="182"/>
      <c r="N590" s="152"/>
      <c r="O590" s="152"/>
      <c r="P590" s="152"/>
      <c r="Q590" s="152"/>
      <c r="R590" s="152"/>
    </row>
    <row r="591">
      <c r="E591" s="151"/>
      <c r="F591" s="265"/>
      <c r="G591" s="107"/>
      <c r="H591" s="264"/>
      <c r="I591" s="223"/>
      <c r="J591" s="148"/>
      <c r="K591" s="107"/>
      <c r="L591" s="265"/>
      <c r="M591" s="182"/>
      <c r="N591" s="152"/>
      <c r="O591" s="152"/>
      <c r="P591" s="152"/>
      <c r="Q591" s="152"/>
      <c r="R591" s="152"/>
    </row>
    <row r="592">
      <c r="E592" s="151"/>
      <c r="F592" s="265"/>
      <c r="G592" s="107"/>
      <c r="H592" s="264"/>
      <c r="I592" s="223"/>
      <c r="J592" s="148"/>
      <c r="K592" s="107"/>
      <c r="L592" s="265"/>
      <c r="M592" s="182"/>
      <c r="N592" s="152"/>
      <c r="O592" s="152"/>
      <c r="P592" s="152"/>
      <c r="Q592" s="152"/>
      <c r="R592" s="152"/>
    </row>
    <row r="593">
      <c r="E593" s="151"/>
      <c r="F593" s="265"/>
      <c r="G593" s="107"/>
      <c r="H593" s="264"/>
      <c r="I593" s="223"/>
      <c r="J593" s="148"/>
      <c r="K593" s="107"/>
      <c r="L593" s="265"/>
      <c r="M593" s="182"/>
      <c r="N593" s="152"/>
      <c r="O593" s="152"/>
      <c r="P593" s="152"/>
      <c r="Q593" s="152"/>
      <c r="R593" s="152"/>
    </row>
    <row r="594">
      <c r="E594" s="151"/>
      <c r="F594" s="265"/>
      <c r="G594" s="107"/>
      <c r="H594" s="264"/>
      <c r="I594" s="223"/>
      <c r="J594" s="148"/>
      <c r="K594" s="107"/>
      <c r="L594" s="265"/>
      <c r="M594" s="182"/>
      <c r="N594" s="152"/>
      <c r="O594" s="152"/>
      <c r="P594" s="152"/>
      <c r="Q594" s="152"/>
      <c r="R594" s="152"/>
    </row>
    <row r="595">
      <c r="E595" s="151"/>
      <c r="F595" s="265"/>
      <c r="G595" s="107"/>
      <c r="H595" s="264"/>
      <c r="I595" s="223"/>
      <c r="J595" s="148"/>
      <c r="K595" s="107"/>
      <c r="L595" s="265"/>
      <c r="M595" s="182"/>
      <c r="N595" s="152"/>
      <c r="O595" s="152"/>
      <c r="P595" s="152"/>
      <c r="Q595" s="152"/>
      <c r="R595" s="152"/>
    </row>
    <row r="596">
      <c r="E596" s="151"/>
      <c r="F596" s="265"/>
      <c r="G596" s="107"/>
      <c r="H596" s="264"/>
      <c r="I596" s="223"/>
      <c r="J596" s="148"/>
      <c r="K596" s="107"/>
      <c r="L596" s="265"/>
      <c r="M596" s="182"/>
      <c r="N596" s="152"/>
      <c r="O596" s="152"/>
      <c r="P596" s="152"/>
      <c r="Q596" s="152"/>
      <c r="R596" s="152"/>
    </row>
    <row r="597">
      <c r="E597" s="151"/>
      <c r="F597" s="265"/>
      <c r="G597" s="107"/>
      <c r="H597" s="264"/>
      <c r="I597" s="223"/>
      <c r="J597" s="148"/>
      <c r="K597" s="107"/>
      <c r="L597" s="265"/>
      <c r="M597" s="182"/>
      <c r="N597" s="152"/>
      <c r="O597" s="152"/>
      <c r="P597" s="152"/>
      <c r="Q597" s="152"/>
      <c r="R597" s="152"/>
    </row>
    <row r="598">
      <c r="E598" s="151"/>
      <c r="F598" s="265"/>
      <c r="G598" s="107"/>
      <c r="H598" s="264"/>
      <c r="I598" s="223"/>
      <c r="J598" s="148"/>
      <c r="K598" s="107"/>
      <c r="L598" s="265"/>
      <c r="M598" s="182"/>
      <c r="N598" s="152"/>
      <c r="O598" s="152"/>
      <c r="P598" s="152"/>
      <c r="Q598" s="152"/>
      <c r="R598" s="152"/>
    </row>
    <row r="599">
      <c r="E599" s="151"/>
      <c r="F599" s="265"/>
      <c r="G599" s="107"/>
      <c r="H599" s="264"/>
      <c r="I599" s="223"/>
      <c r="J599" s="148"/>
      <c r="K599" s="107"/>
      <c r="L599" s="265"/>
      <c r="M599" s="182"/>
      <c r="N599" s="152"/>
      <c r="O599" s="152"/>
      <c r="P599" s="152"/>
      <c r="Q599" s="152"/>
      <c r="R599" s="152"/>
    </row>
    <row r="600">
      <c r="E600" s="151"/>
      <c r="F600" s="265"/>
      <c r="G600" s="107"/>
      <c r="H600" s="264"/>
      <c r="I600" s="223"/>
      <c r="J600" s="148"/>
      <c r="K600" s="107"/>
      <c r="L600" s="265"/>
      <c r="M600" s="182"/>
      <c r="N600" s="152"/>
      <c r="O600" s="152"/>
      <c r="P600" s="152"/>
      <c r="Q600" s="152"/>
      <c r="R600" s="152"/>
    </row>
    <row r="601">
      <c r="E601" s="151"/>
      <c r="F601" s="265"/>
      <c r="G601" s="107"/>
      <c r="H601" s="264"/>
      <c r="I601" s="223"/>
      <c r="J601" s="148"/>
      <c r="K601" s="107"/>
      <c r="L601" s="265"/>
      <c r="M601" s="182"/>
      <c r="N601" s="152"/>
      <c r="O601" s="152"/>
      <c r="P601" s="152"/>
      <c r="Q601" s="152"/>
      <c r="R601" s="152"/>
    </row>
    <row r="602">
      <c r="E602" s="151"/>
      <c r="F602" s="265"/>
      <c r="G602" s="107"/>
      <c r="H602" s="264"/>
      <c r="I602" s="223"/>
      <c r="J602" s="148"/>
      <c r="K602" s="107"/>
      <c r="L602" s="265"/>
      <c r="M602" s="182"/>
      <c r="N602" s="152"/>
      <c r="O602" s="152"/>
      <c r="P602" s="152"/>
      <c r="Q602" s="152"/>
      <c r="R602" s="152"/>
    </row>
    <row r="603">
      <c r="E603" s="151"/>
      <c r="F603" s="265"/>
      <c r="G603" s="107"/>
      <c r="H603" s="264"/>
      <c r="I603" s="223"/>
      <c r="J603" s="148"/>
      <c r="K603" s="107"/>
      <c r="L603" s="265"/>
      <c r="M603" s="182"/>
      <c r="N603" s="152"/>
      <c r="O603" s="152"/>
      <c r="P603" s="152"/>
      <c r="Q603" s="152"/>
      <c r="R603" s="152"/>
    </row>
    <row r="604">
      <c r="E604" s="151"/>
      <c r="F604" s="265"/>
      <c r="G604" s="107"/>
      <c r="H604" s="264"/>
      <c r="I604" s="223"/>
      <c r="J604" s="148"/>
      <c r="K604" s="107"/>
      <c r="L604" s="265"/>
      <c r="M604" s="182"/>
      <c r="N604" s="152"/>
      <c r="O604" s="152"/>
      <c r="P604" s="152"/>
      <c r="Q604" s="152"/>
      <c r="R604" s="152"/>
    </row>
    <row r="605">
      <c r="E605" s="151"/>
      <c r="F605" s="265"/>
      <c r="G605" s="107"/>
      <c r="H605" s="264"/>
      <c r="I605" s="223"/>
      <c r="J605" s="148"/>
      <c r="K605" s="107"/>
      <c r="L605" s="265"/>
      <c r="M605" s="182"/>
      <c r="N605" s="152"/>
      <c r="O605" s="152"/>
      <c r="P605" s="152"/>
      <c r="Q605" s="152"/>
      <c r="R605" s="152"/>
    </row>
    <row r="606">
      <c r="E606" s="151"/>
      <c r="F606" s="265"/>
      <c r="G606" s="107"/>
      <c r="H606" s="264"/>
      <c r="I606" s="223"/>
      <c r="J606" s="148"/>
      <c r="K606" s="107"/>
      <c r="L606" s="265"/>
      <c r="M606" s="182"/>
      <c r="N606" s="152"/>
      <c r="O606" s="152"/>
      <c r="P606" s="152"/>
      <c r="Q606" s="152"/>
      <c r="R606" s="152"/>
    </row>
    <row r="607">
      <c r="E607" s="151"/>
      <c r="F607" s="265"/>
      <c r="G607" s="107"/>
      <c r="H607" s="264"/>
      <c r="I607" s="223"/>
      <c r="J607" s="148"/>
      <c r="K607" s="107"/>
      <c r="L607" s="265"/>
      <c r="M607" s="182"/>
      <c r="N607" s="152"/>
      <c r="O607" s="152"/>
      <c r="P607" s="152"/>
      <c r="Q607" s="152"/>
      <c r="R607" s="152"/>
    </row>
    <row r="608">
      <c r="E608" s="151"/>
      <c r="F608" s="265"/>
      <c r="G608" s="107"/>
      <c r="H608" s="264"/>
      <c r="I608" s="223"/>
      <c r="J608" s="148"/>
      <c r="K608" s="107"/>
      <c r="L608" s="265"/>
      <c r="M608" s="182"/>
      <c r="N608" s="152"/>
      <c r="O608" s="152"/>
      <c r="P608" s="152"/>
      <c r="Q608" s="152"/>
      <c r="R608" s="152"/>
    </row>
    <row r="609">
      <c r="E609" s="151"/>
      <c r="F609" s="265"/>
      <c r="G609" s="107"/>
      <c r="H609" s="264"/>
      <c r="I609" s="223"/>
      <c r="J609" s="148"/>
      <c r="K609" s="107"/>
      <c r="L609" s="265"/>
      <c r="M609" s="182"/>
      <c r="N609" s="152"/>
      <c r="O609" s="152"/>
      <c r="P609" s="152"/>
      <c r="Q609" s="152"/>
      <c r="R609" s="152"/>
    </row>
    <row r="610">
      <c r="E610" s="151"/>
      <c r="F610" s="265"/>
      <c r="G610" s="107"/>
      <c r="H610" s="264"/>
      <c r="I610" s="223"/>
      <c r="J610" s="148"/>
      <c r="K610" s="107"/>
      <c r="L610" s="265"/>
      <c r="M610" s="182"/>
      <c r="N610" s="152"/>
      <c r="O610" s="152"/>
      <c r="P610" s="152"/>
      <c r="Q610" s="152"/>
      <c r="R610" s="152"/>
    </row>
    <row r="611">
      <c r="E611" s="151"/>
      <c r="F611" s="265"/>
      <c r="G611" s="107"/>
      <c r="H611" s="264"/>
      <c r="I611" s="223"/>
      <c r="J611" s="148"/>
      <c r="K611" s="107"/>
      <c r="L611" s="265"/>
      <c r="M611" s="182"/>
      <c r="N611" s="152"/>
      <c r="O611" s="152"/>
      <c r="P611" s="152"/>
      <c r="Q611" s="152"/>
      <c r="R611" s="152"/>
    </row>
    <row r="612">
      <c r="E612" s="151"/>
      <c r="F612" s="265"/>
      <c r="G612" s="107"/>
      <c r="H612" s="264"/>
      <c r="I612" s="223"/>
      <c r="J612" s="148"/>
      <c r="K612" s="107"/>
      <c r="L612" s="265"/>
      <c r="M612" s="182"/>
      <c r="N612" s="152"/>
      <c r="O612" s="152"/>
      <c r="P612" s="152"/>
      <c r="Q612" s="152"/>
      <c r="R612" s="152"/>
    </row>
    <row r="613">
      <c r="E613" s="151"/>
      <c r="F613" s="265"/>
      <c r="G613" s="107"/>
      <c r="H613" s="264"/>
      <c r="I613" s="223"/>
      <c r="J613" s="148"/>
      <c r="K613" s="107"/>
      <c r="L613" s="265"/>
      <c r="M613" s="182"/>
      <c r="N613" s="152"/>
      <c r="O613" s="152"/>
      <c r="P613" s="152"/>
      <c r="Q613" s="152"/>
      <c r="R613" s="152"/>
    </row>
    <row r="614">
      <c r="E614" s="151"/>
      <c r="F614" s="265"/>
      <c r="G614" s="107"/>
      <c r="H614" s="264"/>
      <c r="I614" s="223"/>
      <c r="J614" s="148"/>
      <c r="K614" s="107"/>
      <c r="L614" s="265"/>
      <c r="M614" s="182"/>
      <c r="N614" s="152"/>
      <c r="O614" s="152"/>
      <c r="P614" s="152"/>
      <c r="Q614" s="152"/>
      <c r="R614" s="152"/>
    </row>
    <row r="615">
      <c r="E615" s="151"/>
      <c r="F615" s="265"/>
      <c r="G615" s="107"/>
      <c r="H615" s="264"/>
      <c r="I615" s="223"/>
      <c r="J615" s="148"/>
      <c r="K615" s="107"/>
      <c r="L615" s="265"/>
      <c r="M615" s="182"/>
      <c r="N615" s="152"/>
      <c r="O615" s="152"/>
      <c r="P615" s="152"/>
      <c r="Q615" s="152"/>
      <c r="R615" s="152"/>
    </row>
    <row r="616">
      <c r="E616" s="151"/>
      <c r="F616" s="265"/>
      <c r="G616" s="107"/>
      <c r="H616" s="264"/>
      <c r="I616" s="223"/>
      <c r="J616" s="148"/>
      <c r="K616" s="107"/>
      <c r="L616" s="265"/>
      <c r="M616" s="182"/>
      <c r="N616" s="152"/>
      <c r="O616" s="152"/>
      <c r="P616" s="152"/>
      <c r="Q616" s="152"/>
      <c r="R616" s="152"/>
    </row>
    <row r="617">
      <c r="E617" s="151"/>
      <c r="F617" s="265"/>
      <c r="G617" s="107"/>
      <c r="H617" s="264"/>
      <c r="I617" s="223"/>
      <c r="J617" s="148"/>
      <c r="K617" s="107"/>
      <c r="L617" s="265"/>
      <c r="M617" s="182"/>
      <c r="N617" s="152"/>
      <c r="O617" s="152"/>
      <c r="P617" s="152"/>
      <c r="Q617" s="152"/>
      <c r="R617" s="152"/>
    </row>
    <row r="618">
      <c r="E618" s="151"/>
      <c r="F618" s="265"/>
      <c r="G618" s="107"/>
      <c r="H618" s="264"/>
      <c r="I618" s="223"/>
      <c r="J618" s="148"/>
      <c r="K618" s="107"/>
      <c r="L618" s="265"/>
      <c r="M618" s="182"/>
      <c r="N618" s="152"/>
      <c r="O618" s="152"/>
      <c r="P618" s="152"/>
      <c r="Q618" s="152"/>
      <c r="R618" s="152"/>
    </row>
    <row r="619">
      <c r="E619" s="151"/>
      <c r="F619" s="265"/>
      <c r="G619" s="107"/>
      <c r="H619" s="264"/>
      <c r="I619" s="223"/>
      <c r="J619" s="148"/>
      <c r="K619" s="107"/>
      <c r="L619" s="265"/>
      <c r="M619" s="182"/>
      <c r="N619" s="152"/>
      <c r="O619" s="152"/>
      <c r="P619" s="152"/>
      <c r="Q619" s="152"/>
      <c r="R619" s="152"/>
    </row>
    <row r="620">
      <c r="E620" s="151"/>
      <c r="F620" s="265"/>
      <c r="G620" s="107"/>
      <c r="H620" s="264"/>
      <c r="I620" s="223"/>
      <c r="J620" s="148"/>
      <c r="K620" s="107"/>
      <c r="L620" s="265"/>
      <c r="M620" s="182"/>
      <c r="N620" s="152"/>
      <c r="O620" s="152"/>
      <c r="P620" s="152"/>
      <c r="Q620" s="152"/>
      <c r="R620" s="152"/>
    </row>
    <row r="621">
      <c r="E621" s="151"/>
      <c r="F621" s="265"/>
      <c r="G621" s="107"/>
      <c r="H621" s="264"/>
      <c r="I621" s="223"/>
      <c r="J621" s="148"/>
      <c r="K621" s="107"/>
      <c r="L621" s="265"/>
      <c r="M621" s="182"/>
      <c r="N621" s="152"/>
      <c r="O621" s="152"/>
      <c r="P621" s="152"/>
      <c r="Q621" s="152"/>
      <c r="R621" s="152"/>
    </row>
    <row r="622">
      <c r="E622" s="151"/>
      <c r="F622" s="265"/>
      <c r="G622" s="107"/>
      <c r="H622" s="264"/>
      <c r="I622" s="223"/>
      <c r="J622" s="148"/>
      <c r="K622" s="107"/>
      <c r="L622" s="265"/>
      <c r="M622" s="182"/>
      <c r="N622" s="152"/>
      <c r="O622" s="152"/>
      <c r="P622" s="152"/>
      <c r="Q622" s="152"/>
      <c r="R622" s="152"/>
    </row>
    <row r="623">
      <c r="E623" s="151"/>
      <c r="F623" s="265"/>
      <c r="G623" s="107"/>
      <c r="H623" s="264"/>
      <c r="I623" s="223"/>
      <c r="J623" s="148"/>
      <c r="K623" s="107"/>
      <c r="L623" s="265"/>
      <c r="M623" s="182"/>
      <c r="N623" s="152"/>
      <c r="O623" s="152"/>
      <c r="P623" s="152"/>
      <c r="Q623" s="152"/>
      <c r="R623" s="152"/>
    </row>
    <row r="624">
      <c r="E624" s="151"/>
      <c r="F624" s="265"/>
      <c r="G624" s="107"/>
      <c r="H624" s="264"/>
      <c r="I624" s="223"/>
      <c r="J624" s="148"/>
      <c r="K624" s="107"/>
      <c r="L624" s="265"/>
      <c r="M624" s="182"/>
      <c r="N624" s="152"/>
      <c r="O624" s="152"/>
      <c r="P624" s="152"/>
      <c r="Q624" s="152"/>
      <c r="R624" s="152"/>
    </row>
    <row r="625">
      <c r="E625" s="151"/>
      <c r="F625" s="265"/>
      <c r="G625" s="107"/>
      <c r="H625" s="264"/>
      <c r="I625" s="223"/>
      <c r="J625" s="148"/>
      <c r="K625" s="107"/>
      <c r="L625" s="265"/>
      <c r="M625" s="182"/>
      <c r="N625" s="152"/>
      <c r="O625" s="152"/>
      <c r="P625" s="152"/>
      <c r="Q625" s="152"/>
      <c r="R625" s="152"/>
    </row>
    <row r="626">
      <c r="E626" s="151"/>
      <c r="F626" s="265"/>
      <c r="G626" s="107"/>
      <c r="H626" s="264"/>
      <c r="I626" s="223"/>
      <c r="J626" s="148"/>
      <c r="K626" s="107"/>
      <c r="L626" s="265"/>
      <c r="M626" s="182"/>
      <c r="N626" s="152"/>
      <c r="O626" s="152"/>
      <c r="P626" s="152"/>
      <c r="Q626" s="152"/>
      <c r="R626" s="152"/>
    </row>
    <row r="627">
      <c r="E627" s="151"/>
      <c r="F627" s="265"/>
      <c r="G627" s="107"/>
      <c r="H627" s="264"/>
      <c r="I627" s="223"/>
      <c r="J627" s="148"/>
      <c r="K627" s="107"/>
      <c r="L627" s="265"/>
      <c r="M627" s="182"/>
      <c r="N627" s="152"/>
      <c r="O627" s="152"/>
      <c r="P627" s="152"/>
      <c r="Q627" s="152"/>
      <c r="R627" s="152"/>
    </row>
    <row r="628">
      <c r="E628" s="151"/>
      <c r="F628" s="265"/>
      <c r="G628" s="107"/>
      <c r="H628" s="264"/>
      <c r="I628" s="223"/>
      <c r="J628" s="148"/>
      <c r="K628" s="107"/>
      <c r="L628" s="265"/>
      <c r="M628" s="182"/>
      <c r="N628" s="152"/>
      <c r="O628" s="152"/>
      <c r="P628" s="152"/>
      <c r="Q628" s="152"/>
      <c r="R628" s="152"/>
    </row>
    <row r="629">
      <c r="E629" s="151"/>
      <c r="F629" s="265"/>
      <c r="G629" s="107"/>
      <c r="H629" s="264"/>
      <c r="I629" s="223"/>
      <c r="J629" s="148"/>
      <c r="K629" s="107"/>
      <c r="L629" s="265"/>
      <c r="M629" s="182"/>
      <c r="N629" s="152"/>
      <c r="O629" s="152"/>
      <c r="P629" s="152"/>
      <c r="Q629" s="152"/>
      <c r="R629" s="152"/>
    </row>
    <row r="630">
      <c r="E630" s="151"/>
      <c r="F630" s="265"/>
      <c r="G630" s="107"/>
      <c r="H630" s="264"/>
      <c r="I630" s="223"/>
      <c r="J630" s="148"/>
      <c r="K630" s="107"/>
      <c r="L630" s="265"/>
      <c r="M630" s="182"/>
      <c r="N630" s="152"/>
      <c r="O630" s="152"/>
      <c r="P630" s="152"/>
      <c r="Q630" s="152"/>
      <c r="R630" s="152"/>
    </row>
    <row r="631">
      <c r="E631" s="151"/>
      <c r="F631" s="265"/>
      <c r="G631" s="107"/>
      <c r="H631" s="264"/>
      <c r="I631" s="223"/>
      <c r="J631" s="148"/>
      <c r="K631" s="107"/>
      <c r="L631" s="265"/>
      <c r="M631" s="182"/>
      <c r="N631" s="152"/>
      <c r="O631" s="152"/>
      <c r="P631" s="152"/>
      <c r="Q631" s="152"/>
      <c r="R631" s="152"/>
    </row>
    <row r="632">
      <c r="E632" s="151"/>
      <c r="F632" s="265"/>
      <c r="G632" s="107"/>
      <c r="H632" s="264"/>
      <c r="I632" s="223"/>
      <c r="J632" s="148"/>
      <c r="K632" s="107"/>
      <c r="L632" s="265"/>
      <c r="M632" s="182"/>
      <c r="N632" s="152"/>
      <c r="O632" s="152"/>
      <c r="P632" s="152"/>
      <c r="Q632" s="152"/>
      <c r="R632" s="152"/>
    </row>
    <row r="633">
      <c r="E633" s="151"/>
      <c r="F633" s="265"/>
      <c r="G633" s="107"/>
      <c r="H633" s="264"/>
      <c r="I633" s="223"/>
      <c r="J633" s="148"/>
      <c r="K633" s="107"/>
      <c r="L633" s="265"/>
      <c r="M633" s="182"/>
      <c r="N633" s="152"/>
      <c r="O633" s="152"/>
      <c r="P633" s="152"/>
      <c r="Q633" s="152"/>
      <c r="R633" s="152"/>
    </row>
    <row r="634">
      <c r="E634" s="151"/>
      <c r="F634" s="265"/>
      <c r="G634" s="107"/>
      <c r="H634" s="264"/>
      <c r="I634" s="223"/>
      <c r="J634" s="148"/>
      <c r="K634" s="107"/>
      <c r="L634" s="265"/>
      <c r="M634" s="182"/>
      <c r="N634" s="152"/>
      <c r="O634" s="152"/>
      <c r="P634" s="152"/>
      <c r="Q634" s="152"/>
      <c r="R634" s="152"/>
    </row>
    <row r="635">
      <c r="E635" s="151"/>
      <c r="F635" s="265"/>
      <c r="G635" s="107"/>
      <c r="H635" s="264"/>
      <c r="I635" s="223"/>
      <c r="J635" s="148"/>
      <c r="K635" s="107"/>
      <c r="L635" s="265"/>
      <c r="M635" s="182"/>
      <c r="N635" s="152"/>
      <c r="O635" s="152"/>
      <c r="P635" s="152"/>
      <c r="Q635" s="152"/>
      <c r="R635" s="152"/>
    </row>
    <row r="636">
      <c r="E636" s="151"/>
      <c r="F636" s="265"/>
      <c r="G636" s="107"/>
      <c r="H636" s="264"/>
      <c r="I636" s="223"/>
      <c r="J636" s="148"/>
      <c r="K636" s="107"/>
      <c r="L636" s="265"/>
      <c r="M636" s="182"/>
      <c r="N636" s="152"/>
      <c r="O636" s="152"/>
      <c r="P636" s="152"/>
      <c r="Q636" s="152"/>
      <c r="R636" s="152"/>
    </row>
    <row r="637">
      <c r="E637" s="151"/>
      <c r="F637" s="265"/>
      <c r="G637" s="107"/>
      <c r="H637" s="264"/>
      <c r="I637" s="223"/>
      <c r="J637" s="148"/>
      <c r="K637" s="107"/>
      <c r="L637" s="265"/>
      <c r="M637" s="182"/>
      <c r="N637" s="152"/>
      <c r="O637" s="152"/>
      <c r="P637" s="152"/>
      <c r="Q637" s="152"/>
      <c r="R637" s="152"/>
    </row>
    <row r="638">
      <c r="E638" s="151"/>
      <c r="F638" s="265"/>
      <c r="G638" s="107"/>
      <c r="H638" s="264"/>
      <c r="I638" s="223"/>
      <c r="J638" s="148"/>
      <c r="K638" s="107"/>
      <c r="L638" s="265"/>
      <c r="M638" s="182"/>
      <c r="N638" s="152"/>
      <c r="O638" s="152"/>
      <c r="P638" s="152"/>
      <c r="Q638" s="152"/>
      <c r="R638" s="152"/>
    </row>
    <row r="639">
      <c r="E639" s="151"/>
      <c r="F639" s="265"/>
      <c r="G639" s="107"/>
      <c r="H639" s="264"/>
      <c r="I639" s="223"/>
      <c r="J639" s="148"/>
      <c r="K639" s="107"/>
      <c r="L639" s="265"/>
      <c r="M639" s="182"/>
      <c r="N639" s="152"/>
      <c r="O639" s="152"/>
      <c r="P639" s="152"/>
      <c r="Q639" s="152"/>
      <c r="R639" s="152"/>
    </row>
    <row r="640">
      <c r="E640" s="151"/>
      <c r="F640" s="265"/>
      <c r="G640" s="107"/>
      <c r="H640" s="264"/>
      <c r="I640" s="223"/>
      <c r="J640" s="148"/>
      <c r="K640" s="107"/>
      <c r="L640" s="265"/>
      <c r="M640" s="182"/>
      <c r="N640" s="152"/>
      <c r="O640" s="152"/>
      <c r="P640" s="152"/>
      <c r="Q640" s="152"/>
      <c r="R640" s="152"/>
    </row>
    <row r="641">
      <c r="E641" s="151"/>
      <c r="F641" s="265"/>
      <c r="G641" s="107"/>
      <c r="H641" s="264"/>
      <c r="I641" s="223"/>
      <c r="J641" s="148"/>
      <c r="K641" s="107"/>
      <c r="L641" s="265"/>
      <c r="M641" s="182"/>
      <c r="N641" s="152"/>
      <c r="O641" s="152"/>
      <c r="P641" s="152"/>
      <c r="Q641" s="152"/>
      <c r="R641" s="152"/>
    </row>
    <row r="642">
      <c r="E642" s="151"/>
      <c r="F642" s="265"/>
      <c r="G642" s="107"/>
      <c r="H642" s="264"/>
      <c r="I642" s="223"/>
      <c r="J642" s="148"/>
      <c r="K642" s="107"/>
      <c r="L642" s="265"/>
      <c r="M642" s="182"/>
      <c r="N642" s="152"/>
      <c r="O642" s="152"/>
      <c r="P642" s="152"/>
      <c r="Q642" s="152"/>
      <c r="R642" s="152"/>
    </row>
    <row r="643">
      <c r="E643" s="151"/>
      <c r="F643" s="265"/>
      <c r="G643" s="107"/>
      <c r="H643" s="264"/>
      <c r="I643" s="223"/>
      <c r="J643" s="148"/>
      <c r="K643" s="107"/>
      <c r="L643" s="265"/>
      <c r="M643" s="182"/>
      <c r="N643" s="152"/>
      <c r="O643" s="152"/>
      <c r="P643" s="152"/>
      <c r="Q643" s="152"/>
      <c r="R643" s="152"/>
    </row>
    <row r="644">
      <c r="E644" s="151"/>
      <c r="F644" s="265"/>
      <c r="G644" s="107"/>
      <c r="H644" s="264"/>
      <c r="I644" s="223"/>
      <c r="J644" s="148"/>
      <c r="K644" s="107"/>
      <c r="L644" s="265"/>
      <c r="M644" s="182"/>
      <c r="N644" s="152"/>
      <c r="O644" s="152"/>
      <c r="P644" s="152"/>
      <c r="Q644" s="152"/>
      <c r="R644" s="152"/>
    </row>
    <row r="645">
      <c r="E645" s="151"/>
      <c r="F645" s="265"/>
      <c r="G645" s="107"/>
      <c r="H645" s="264"/>
      <c r="I645" s="223"/>
      <c r="J645" s="148"/>
      <c r="K645" s="107"/>
      <c r="L645" s="265"/>
      <c r="M645" s="182"/>
      <c r="N645" s="152"/>
      <c r="O645" s="152"/>
      <c r="P645" s="152"/>
      <c r="Q645" s="152"/>
      <c r="R645" s="152"/>
    </row>
    <row r="646">
      <c r="E646" s="151"/>
      <c r="F646" s="265"/>
      <c r="G646" s="107"/>
      <c r="H646" s="264"/>
      <c r="I646" s="223"/>
      <c r="J646" s="148"/>
      <c r="K646" s="107"/>
      <c r="L646" s="265"/>
      <c r="M646" s="182"/>
      <c r="N646" s="152"/>
      <c r="O646" s="152"/>
      <c r="P646" s="152"/>
      <c r="Q646" s="152"/>
      <c r="R646" s="152"/>
    </row>
    <row r="647">
      <c r="E647" s="151"/>
      <c r="F647" s="265"/>
      <c r="G647" s="107"/>
      <c r="H647" s="264"/>
      <c r="I647" s="223"/>
      <c r="J647" s="148"/>
      <c r="K647" s="107"/>
      <c r="L647" s="265"/>
      <c r="M647" s="182"/>
      <c r="N647" s="152"/>
      <c r="O647" s="152"/>
      <c r="P647" s="152"/>
      <c r="Q647" s="152"/>
      <c r="R647" s="152"/>
    </row>
    <row r="648">
      <c r="E648" s="151"/>
      <c r="F648" s="265"/>
      <c r="G648" s="107"/>
      <c r="H648" s="264"/>
      <c r="I648" s="223"/>
      <c r="J648" s="148"/>
      <c r="K648" s="107"/>
      <c r="L648" s="265"/>
      <c r="M648" s="182"/>
      <c r="N648" s="152"/>
      <c r="O648" s="152"/>
      <c r="P648" s="152"/>
      <c r="Q648" s="152"/>
      <c r="R648" s="152"/>
    </row>
    <row r="649">
      <c r="E649" s="151"/>
      <c r="F649" s="265"/>
      <c r="G649" s="107"/>
      <c r="H649" s="264"/>
      <c r="I649" s="223"/>
      <c r="J649" s="148"/>
      <c r="K649" s="107"/>
      <c r="L649" s="265"/>
      <c r="M649" s="182"/>
      <c r="N649" s="152"/>
      <c r="O649" s="152"/>
      <c r="P649" s="152"/>
      <c r="Q649" s="152"/>
      <c r="R649" s="152"/>
    </row>
    <row r="650">
      <c r="E650" s="151"/>
      <c r="F650" s="265"/>
      <c r="G650" s="107"/>
      <c r="H650" s="264"/>
      <c r="I650" s="223"/>
      <c r="J650" s="148"/>
      <c r="K650" s="107"/>
      <c r="L650" s="265"/>
      <c r="M650" s="182"/>
      <c r="N650" s="152"/>
      <c r="O650" s="152"/>
      <c r="P650" s="152"/>
      <c r="Q650" s="152"/>
      <c r="R650" s="152"/>
    </row>
    <row r="651">
      <c r="E651" s="151"/>
      <c r="F651" s="265"/>
      <c r="G651" s="107"/>
      <c r="H651" s="264"/>
      <c r="I651" s="223"/>
      <c r="J651" s="148"/>
      <c r="K651" s="107"/>
      <c r="L651" s="265"/>
      <c r="M651" s="182"/>
      <c r="N651" s="152"/>
      <c r="O651" s="152"/>
      <c r="P651" s="152"/>
      <c r="Q651" s="152"/>
      <c r="R651" s="152"/>
    </row>
    <row r="652">
      <c r="E652" s="151"/>
      <c r="F652" s="265"/>
      <c r="G652" s="107"/>
      <c r="H652" s="264"/>
      <c r="I652" s="223"/>
      <c r="J652" s="148"/>
      <c r="K652" s="107"/>
      <c r="L652" s="265"/>
      <c r="M652" s="182"/>
      <c r="N652" s="152"/>
      <c r="O652" s="152"/>
      <c r="P652" s="152"/>
      <c r="Q652" s="152"/>
      <c r="R652" s="152"/>
    </row>
    <row r="653">
      <c r="E653" s="151"/>
      <c r="F653" s="265"/>
      <c r="G653" s="107"/>
      <c r="H653" s="264"/>
      <c r="I653" s="223"/>
      <c r="J653" s="148"/>
      <c r="K653" s="107"/>
      <c r="L653" s="265"/>
      <c r="M653" s="182"/>
      <c r="N653" s="152"/>
      <c r="O653" s="152"/>
      <c r="P653" s="152"/>
      <c r="Q653" s="152"/>
      <c r="R653" s="152"/>
    </row>
    <row r="654">
      <c r="E654" s="151"/>
      <c r="F654" s="265"/>
      <c r="G654" s="107"/>
      <c r="H654" s="264"/>
      <c r="I654" s="223"/>
      <c r="J654" s="148"/>
      <c r="K654" s="107"/>
      <c r="L654" s="265"/>
      <c r="M654" s="182"/>
      <c r="N654" s="152"/>
      <c r="O654" s="152"/>
      <c r="P654" s="152"/>
      <c r="Q654" s="152"/>
      <c r="R654" s="152"/>
    </row>
    <row r="655">
      <c r="E655" s="151"/>
      <c r="F655" s="265"/>
      <c r="G655" s="107"/>
      <c r="H655" s="264"/>
      <c r="I655" s="223"/>
      <c r="J655" s="148"/>
      <c r="K655" s="107"/>
      <c r="L655" s="265"/>
      <c r="M655" s="182"/>
      <c r="N655" s="152"/>
      <c r="O655" s="152"/>
      <c r="P655" s="152"/>
      <c r="Q655" s="152"/>
      <c r="R655" s="152"/>
    </row>
    <row r="656">
      <c r="E656" s="151"/>
      <c r="F656" s="265"/>
      <c r="G656" s="107"/>
      <c r="H656" s="264"/>
      <c r="I656" s="223"/>
      <c r="J656" s="148"/>
      <c r="K656" s="107"/>
      <c r="L656" s="265"/>
      <c r="M656" s="182"/>
      <c r="N656" s="152"/>
      <c r="O656" s="152"/>
      <c r="P656" s="152"/>
      <c r="Q656" s="152"/>
      <c r="R656" s="152"/>
    </row>
    <row r="657">
      <c r="E657" s="151"/>
      <c r="F657" s="265"/>
      <c r="G657" s="107"/>
      <c r="H657" s="264"/>
      <c r="I657" s="223"/>
      <c r="J657" s="148"/>
      <c r="K657" s="107"/>
      <c r="L657" s="265"/>
      <c r="M657" s="182"/>
      <c r="N657" s="152"/>
      <c r="O657" s="152"/>
      <c r="P657" s="152"/>
      <c r="Q657" s="152"/>
      <c r="R657" s="152"/>
    </row>
    <row r="658">
      <c r="E658" s="151"/>
      <c r="F658" s="265"/>
      <c r="G658" s="107"/>
      <c r="H658" s="264"/>
      <c r="I658" s="223"/>
      <c r="J658" s="148"/>
      <c r="K658" s="107"/>
      <c r="L658" s="265"/>
      <c r="M658" s="182"/>
      <c r="N658" s="152"/>
      <c r="O658" s="152"/>
      <c r="P658" s="152"/>
      <c r="Q658" s="152"/>
      <c r="R658" s="152"/>
    </row>
    <row r="659">
      <c r="E659" s="151"/>
      <c r="F659" s="265"/>
      <c r="G659" s="107"/>
      <c r="H659" s="264"/>
      <c r="I659" s="223"/>
      <c r="J659" s="148"/>
      <c r="K659" s="107"/>
      <c r="L659" s="265"/>
      <c r="M659" s="182"/>
      <c r="N659" s="152"/>
      <c r="O659" s="152"/>
      <c r="P659" s="152"/>
      <c r="Q659" s="152"/>
      <c r="R659" s="152"/>
    </row>
    <row r="660">
      <c r="E660" s="151"/>
      <c r="F660" s="265"/>
      <c r="G660" s="107"/>
      <c r="H660" s="264"/>
      <c r="I660" s="223"/>
      <c r="J660" s="148"/>
      <c r="K660" s="107"/>
      <c r="L660" s="265"/>
      <c r="M660" s="182"/>
      <c r="N660" s="152"/>
      <c r="O660" s="152"/>
      <c r="P660" s="152"/>
      <c r="Q660" s="152"/>
      <c r="R660" s="152"/>
    </row>
    <row r="661">
      <c r="E661" s="151"/>
      <c r="F661" s="265"/>
      <c r="G661" s="107"/>
      <c r="H661" s="264"/>
      <c r="I661" s="223"/>
      <c r="J661" s="148"/>
      <c r="K661" s="107"/>
      <c r="L661" s="265"/>
      <c r="M661" s="182"/>
      <c r="N661" s="152"/>
      <c r="O661" s="152"/>
      <c r="P661" s="152"/>
      <c r="Q661" s="152"/>
      <c r="R661" s="152"/>
    </row>
    <row r="662">
      <c r="E662" s="151"/>
      <c r="F662" s="265"/>
      <c r="G662" s="107"/>
      <c r="H662" s="264"/>
      <c r="I662" s="223"/>
      <c r="J662" s="148"/>
      <c r="K662" s="107"/>
      <c r="L662" s="265"/>
      <c r="M662" s="182"/>
      <c r="N662" s="152"/>
      <c r="O662" s="152"/>
      <c r="P662" s="152"/>
      <c r="Q662" s="152"/>
      <c r="R662" s="152"/>
    </row>
    <row r="663">
      <c r="E663" s="151"/>
      <c r="F663" s="265"/>
      <c r="G663" s="107"/>
      <c r="H663" s="264"/>
      <c r="I663" s="223"/>
      <c r="J663" s="148"/>
      <c r="K663" s="107"/>
      <c r="L663" s="265"/>
      <c r="M663" s="182"/>
      <c r="N663" s="152"/>
      <c r="O663" s="152"/>
      <c r="P663" s="152"/>
      <c r="Q663" s="152"/>
      <c r="R663" s="152"/>
    </row>
    <row r="664">
      <c r="E664" s="151"/>
      <c r="F664" s="265"/>
      <c r="G664" s="107"/>
      <c r="H664" s="264"/>
      <c r="I664" s="223"/>
      <c r="J664" s="148"/>
      <c r="K664" s="107"/>
      <c r="L664" s="265"/>
      <c r="M664" s="182"/>
      <c r="N664" s="152"/>
      <c r="O664" s="152"/>
      <c r="P664" s="152"/>
      <c r="Q664" s="152"/>
      <c r="R664" s="152"/>
    </row>
    <row r="665">
      <c r="E665" s="151"/>
      <c r="F665" s="265"/>
      <c r="G665" s="107"/>
      <c r="H665" s="264"/>
      <c r="I665" s="223"/>
      <c r="J665" s="148"/>
      <c r="K665" s="107"/>
      <c r="L665" s="265"/>
      <c r="M665" s="182"/>
      <c r="N665" s="152"/>
      <c r="O665" s="152"/>
      <c r="P665" s="152"/>
      <c r="Q665" s="152"/>
      <c r="R665" s="152"/>
    </row>
    <row r="666">
      <c r="E666" s="151"/>
      <c r="F666" s="265"/>
      <c r="G666" s="107"/>
      <c r="H666" s="264"/>
      <c r="I666" s="223"/>
      <c r="J666" s="148"/>
      <c r="K666" s="107"/>
      <c r="L666" s="265"/>
      <c r="M666" s="182"/>
      <c r="N666" s="152"/>
      <c r="O666" s="152"/>
      <c r="P666" s="152"/>
      <c r="Q666" s="152"/>
      <c r="R666" s="152"/>
    </row>
    <row r="667">
      <c r="E667" s="151"/>
      <c r="F667" s="265"/>
      <c r="G667" s="107"/>
      <c r="H667" s="264"/>
      <c r="I667" s="223"/>
      <c r="J667" s="148"/>
      <c r="K667" s="107"/>
      <c r="L667" s="265"/>
      <c r="M667" s="182"/>
      <c r="N667" s="152"/>
      <c r="O667" s="152"/>
      <c r="P667" s="152"/>
      <c r="Q667" s="152"/>
      <c r="R667" s="152"/>
    </row>
    <row r="668">
      <c r="E668" s="151"/>
      <c r="F668" s="265"/>
      <c r="G668" s="107"/>
      <c r="H668" s="264"/>
      <c r="I668" s="223"/>
      <c r="J668" s="148"/>
      <c r="K668" s="107"/>
      <c r="L668" s="265"/>
      <c r="M668" s="182"/>
      <c r="N668" s="152"/>
      <c r="O668" s="152"/>
      <c r="P668" s="152"/>
      <c r="Q668" s="152"/>
      <c r="R668" s="152"/>
    </row>
    <row r="669">
      <c r="E669" s="151"/>
      <c r="F669" s="265"/>
      <c r="G669" s="107"/>
      <c r="H669" s="264"/>
      <c r="I669" s="223"/>
      <c r="J669" s="148"/>
      <c r="K669" s="107"/>
      <c r="L669" s="265"/>
      <c r="M669" s="182"/>
      <c r="N669" s="152"/>
      <c r="O669" s="152"/>
      <c r="P669" s="152"/>
      <c r="Q669" s="152"/>
      <c r="R669" s="152"/>
    </row>
    <row r="670">
      <c r="E670" s="151"/>
      <c r="F670" s="265"/>
      <c r="G670" s="107"/>
      <c r="H670" s="264"/>
      <c r="I670" s="223"/>
      <c r="J670" s="148"/>
      <c r="K670" s="107"/>
      <c r="L670" s="265"/>
      <c r="M670" s="182"/>
      <c r="N670" s="152"/>
      <c r="O670" s="152"/>
      <c r="P670" s="152"/>
      <c r="Q670" s="152"/>
      <c r="R670" s="152"/>
    </row>
    <row r="671">
      <c r="E671" s="151"/>
      <c r="F671" s="265"/>
      <c r="G671" s="107"/>
      <c r="H671" s="264"/>
      <c r="I671" s="223"/>
      <c r="J671" s="148"/>
      <c r="K671" s="107"/>
      <c r="L671" s="265"/>
      <c r="M671" s="182"/>
      <c r="N671" s="152"/>
      <c r="O671" s="152"/>
      <c r="P671" s="152"/>
      <c r="Q671" s="152"/>
      <c r="R671" s="152"/>
    </row>
    <row r="672">
      <c r="E672" s="151"/>
      <c r="F672" s="265"/>
      <c r="G672" s="107"/>
      <c r="H672" s="264"/>
      <c r="I672" s="223"/>
      <c r="J672" s="148"/>
      <c r="K672" s="107"/>
      <c r="L672" s="265"/>
      <c r="M672" s="182"/>
      <c r="N672" s="152"/>
      <c r="O672" s="152"/>
      <c r="P672" s="152"/>
      <c r="Q672" s="152"/>
      <c r="R672" s="152"/>
    </row>
    <row r="673">
      <c r="E673" s="151"/>
      <c r="F673" s="265"/>
      <c r="G673" s="107"/>
      <c r="H673" s="264"/>
      <c r="I673" s="223"/>
      <c r="J673" s="148"/>
      <c r="K673" s="107"/>
      <c r="L673" s="265"/>
      <c r="M673" s="182"/>
      <c r="N673" s="152"/>
      <c r="O673" s="152"/>
      <c r="P673" s="152"/>
      <c r="Q673" s="152"/>
      <c r="R673" s="152"/>
    </row>
    <row r="674">
      <c r="E674" s="151"/>
      <c r="F674" s="265"/>
      <c r="G674" s="107"/>
      <c r="H674" s="264"/>
      <c r="I674" s="223"/>
      <c r="J674" s="148"/>
      <c r="K674" s="107"/>
      <c r="L674" s="265"/>
      <c r="M674" s="182"/>
      <c r="N674" s="152"/>
      <c r="O674" s="152"/>
      <c r="P674" s="152"/>
      <c r="Q674" s="152"/>
      <c r="R674" s="152"/>
    </row>
    <row r="675">
      <c r="E675" s="151"/>
      <c r="F675" s="265"/>
      <c r="G675" s="107"/>
      <c r="H675" s="264"/>
      <c r="I675" s="223"/>
      <c r="J675" s="148"/>
      <c r="K675" s="107"/>
      <c r="L675" s="265"/>
      <c r="M675" s="182"/>
      <c r="N675" s="152"/>
      <c r="O675" s="152"/>
      <c r="P675" s="152"/>
      <c r="Q675" s="152"/>
      <c r="R675" s="152"/>
    </row>
    <row r="676">
      <c r="E676" s="151"/>
      <c r="F676" s="265"/>
      <c r="G676" s="107"/>
      <c r="H676" s="264"/>
      <c r="I676" s="223"/>
      <c r="J676" s="148"/>
      <c r="K676" s="107"/>
      <c r="L676" s="265"/>
      <c r="M676" s="182"/>
      <c r="N676" s="152"/>
      <c r="O676" s="152"/>
      <c r="P676" s="152"/>
      <c r="Q676" s="152"/>
      <c r="R676" s="152"/>
    </row>
    <row r="677">
      <c r="E677" s="151"/>
      <c r="F677" s="265"/>
      <c r="G677" s="107"/>
      <c r="H677" s="264"/>
      <c r="I677" s="223"/>
      <c r="J677" s="148"/>
      <c r="K677" s="107"/>
      <c r="L677" s="265"/>
      <c r="M677" s="182"/>
      <c r="N677" s="152"/>
      <c r="O677" s="152"/>
      <c r="P677" s="152"/>
      <c r="Q677" s="152"/>
      <c r="R677" s="152"/>
    </row>
    <row r="678">
      <c r="E678" s="151"/>
      <c r="F678" s="265"/>
      <c r="G678" s="107"/>
      <c r="H678" s="264"/>
      <c r="I678" s="223"/>
      <c r="J678" s="148"/>
      <c r="K678" s="107"/>
      <c r="L678" s="265"/>
      <c r="M678" s="182"/>
      <c r="N678" s="152"/>
      <c r="O678" s="152"/>
      <c r="P678" s="152"/>
      <c r="Q678" s="152"/>
      <c r="R678" s="152"/>
    </row>
    <row r="679">
      <c r="E679" s="151"/>
      <c r="F679" s="265"/>
      <c r="G679" s="107"/>
      <c r="H679" s="264"/>
      <c r="I679" s="223"/>
      <c r="J679" s="148"/>
      <c r="K679" s="107"/>
      <c r="L679" s="265"/>
      <c r="M679" s="182"/>
      <c r="N679" s="152"/>
      <c r="O679" s="152"/>
      <c r="P679" s="152"/>
      <c r="Q679" s="152"/>
      <c r="R679" s="152"/>
    </row>
    <row r="680">
      <c r="E680" s="151"/>
      <c r="F680" s="265"/>
      <c r="G680" s="107"/>
      <c r="H680" s="264"/>
      <c r="I680" s="223"/>
      <c r="J680" s="148"/>
      <c r="K680" s="107"/>
      <c r="L680" s="265"/>
      <c r="M680" s="182"/>
      <c r="N680" s="152"/>
      <c r="O680" s="152"/>
      <c r="P680" s="152"/>
      <c r="Q680" s="152"/>
      <c r="R680" s="152"/>
    </row>
    <row r="681">
      <c r="E681" s="151"/>
      <c r="F681" s="265"/>
      <c r="G681" s="107"/>
      <c r="H681" s="264"/>
      <c r="I681" s="223"/>
      <c r="J681" s="148"/>
      <c r="K681" s="107"/>
      <c r="L681" s="265"/>
      <c r="M681" s="182"/>
      <c r="N681" s="152"/>
      <c r="O681" s="152"/>
      <c r="P681" s="152"/>
      <c r="Q681" s="152"/>
      <c r="R681" s="152"/>
    </row>
    <row r="682">
      <c r="E682" s="151"/>
      <c r="F682" s="265"/>
      <c r="G682" s="107"/>
      <c r="H682" s="264"/>
      <c r="I682" s="223"/>
      <c r="J682" s="148"/>
      <c r="K682" s="107"/>
      <c r="L682" s="265"/>
      <c r="M682" s="182"/>
      <c r="N682" s="152"/>
      <c r="O682" s="152"/>
      <c r="P682" s="152"/>
      <c r="Q682" s="152"/>
      <c r="R682" s="152"/>
    </row>
    <row r="683">
      <c r="E683" s="151"/>
      <c r="F683" s="265"/>
      <c r="G683" s="107"/>
      <c r="H683" s="264"/>
      <c r="I683" s="223"/>
      <c r="J683" s="148"/>
      <c r="K683" s="107"/>
      <c r="L683" s="265"/>
      <c r="M683" s="182"/>
      <c r="N683" s="152"/>
      <c r="O683" s="152"/>
      <c r="P683" s="152"/>
      <c r="Q683" s="152"/>
      <c r="R683" s="152"/>
    </row>
    <row r="684">
      <c r="E684" s="151"/>
      <c r="F684" s="265"/>
      <c r="G684" s="107"/>
      <c r="H684" s="264"/>
      <c r="I684" s="223"/>
      <c r="J684" s="148"/>
      <c r="K684" s="107"/>
      <c r="L684" s="265"/>
      <c r="M684" s="182"/>
      <c r="N684" s="152"/>
      <c r="O684" s="152"/>
      <c r="P684" s="152"/>
      <c r="Q684" s="152"/>
      <c r="R684" s="152"/>
    </row>
    <row r="685">
      <c r="E685" s="151"/>
      <c r="F685" s="265"/>
      <c r="G685" s="107"/>
      <c r="H685" s="264"/>
      <c r="I685" s="223"/>
      <c r="J685" s="148"/>
      <c r="K685" s="107"/>
      <c r="L685" s="265"/>
      <c r="M685" s="182"/>
      <c r="N685" s="152"/>
      <c r="O685" s="152"/>
      <c r="P685" s="152"/>
      <c r="Q685" s="152"/>
      <c r="R685" s="152"/>
    </row>
    <row r="686">
      <c r="E686" s="151"/>
      <c r="F686" s="265"/>
      <c r="G686" s="107"/>
      <c r="H686" s="264"/>
      <c r="I686" s="223"/>
      <c r="J686" s="148"/>
      <c r="K686" s="107"/>
      <c r="L686" s="265"/>
      <c r="M686" s="182"/>
      <c r="N686" s="152"/>
      <c r="O686" s="152"/>
      <c r="P686" s="152"/>
      <c r="Q686" s="152"/>
      <c r="R686" s="152"/>
    </row>
    <row r="687">
      <c r="E687" s="151"/>
      <c r="F687" s="265"/>
      <c r="G687" s="107"/>
      <c r="H687" s="264"/>
      <c r="I687" s="223"/>
      <c r="J687" s="148"/>
      <c r="K687" s="107"/>
      <c r="L687" s="265"/>
      <c r="M687" s="182"/>
      <c r="N687" s="152"/>
      <c r="O687" s="152"/>
      <c r="P687" s="152"/>
      <c r="Q687" s="152"/>
      <c r="R687" s="152"/>
    </row>
    <row r="688">
      <c r="E688" s="151"/>
      <c r="F688" s="265"/>
      <c r="G688" s="107"/>
      <c r="H688" s="264"/>
      <c r="I688" s="223"/>
      <c r="J688" s="148"/>
      <c r="K688" s="107"/>
      <c r="L688" s="265"/>
      <c r="M688" s="182"/>
      <c r="N688" s="152"/>
      <c r="O688" s="152"/>
      <c r="P688" s="152"/>
      <c r="Q688" s="152"/>
      <c r="R688" s="152"/>
    </row>
    <row r="689">
      <c r="E689" s="151"/>
      <c r="F689" s="265"/>
      <c r="G689" s="107"/>
      <c r="H689" s="264"/>
      <c r="I689" s="223"/>
      <c r="J689" s="148"/>
      <c r="K689" s="107"/>
      <c r="L689" s="265"/>
      <c r="M689" s="182"/>
      <c r="N689" s="152"/>
      <c r="O689" s="152"/>
      <c r="P689" s="152"/>
      <c r="Q689" s="152"/>
      <c r="R689" s="152"/>
    </row>
    <row r="690">
      <c r="E690" s="151"/>
      <c r="F690" s="265"/>
      <c r="G690" s="107"/>
      <c r="H690" s="264"/>
      <c r="I690" s="223"/>
      <c r="J690" s="148"/>
      <c r="K690" s="107"/>
      <c r="L690" s="265"/>
      <c r="M690" s="182"/>
      <c r="N690" s="152"/>
      <c r="O690" s="152"/>
      <c r="P690" s="152"/>
      <c r="Q690" s="152"/>
      <c r="R690" s="152"/>
    </row>
    <row r="691">
      <c r="E691" s="151"/>
      <c r="F691" s="265"/>
      <c r="G691" s="107"/>
      <c r="H691" s="264"/>
      <c r="I691" s="223"/>
      <c r="J691" s="148"/>
      <c r="K691" s="107"/>
      <c r="L691" s="265"/>
      <c r="M691" s="182"/>
      <c r="N691" s="152"/>
      <c r="O691" s="152"/>
      <c r="P691" s="152"/>
      <c r="Q691" s="152"/>
      <c r="R691" s="152"/>
    </row>
    <row r="692">
      <c r="E692" s="151"/>
      <c r="F692" s="265"/>
      <c r="G692" s="107"/>
      <c r="H692" s="264"/>
      <c r="I692" s="223"/>
      <c r="J692" s="148"/>
      <c r="K692" s="107"/>
      <c r="L692" s="265"/>
      <c r="M692" s="182"/>
      <c r="N692" s="152"/>
      <c r="O692" s="152"/>
      <c r="P692" s="152"/>
      <c r="Q692" s="152"/>
      <c r="R692" s="152"/>
    </row>
    <row r="693">
      <c r="E693" s="151"/>
      <c r="F693" s="265"/>
      <c r="G693" s="107"/>
      <c r="H693" s="264"/>
      <c r="I693" s="223"/>
      <c r="J693" s="148"/>
      <c r="K693" s="107"/>
      <c r="L693" s="265"/>
      <c r="M693" s="182"/>
      <c r="N693" s="152"/>
      <c r="O693" s="152"/>
      <c r="P693" s="152"/>
      <c r="Q693" s="152"/>
      <c r="R693" s="152"/>
    </row>
    <row r="694">
      <c r="E694" s="151"/>
      <c r="F694" s="265"/>
      <c r="G694" s="107"/>
      <c r="H694" s="264"/>
      <c r="I694" s="223"/>
      <c r="J694" s="148"/>
      <c r="K694" s="107"/>
      <c r="L694" s="265"/>
      <c r="M694" s="182"/>
      <c r="N694" s="152"/>
      <c r="O694" s="152"/>
      <c r="P694" s="152"/>
      <c r="Q694" s="152"/>
      <c r="R694" s="152"/>
    </row>
    <row r="695">
      <c r="E695" s="151"/>
      <c r="F695" s="265"/>
      <c r="G695" s="107"/>
      <c r="H695" s="264"/>
      <c r="I695" s="223"/>
      <c r="J695" s="148"/>
      <c r="K695" s="107"/>
      <c r="L695" s="265"/>
      <c r="M695" s="182"/>
      <c r="N695" s="152"/>
      <c r="O695" s="152"/>
      <c r="P695" s="152"/>
      <c r="Q695" s="152"/>
      <c r="R695" s="152"/>
    </row>
    <row r="696">
      <c r="E696" s="151"/>
      <c r="F696" s="265"/>
      <c r="G696" s="107"/>
      <c r="H696" s="264"/>
      <c r="I696" s="223"/>
      <c r="J696" s="148"/>
      <c r="K696" s="107"/>
      <c r="L696" s="265"/>
      <c r="M696" s="182"/>
      <c r="N696" s="152"/>
      <c r="O696" s="152"/>
      <c r="P696" s="152"/>
      <c r="Q696" s="152"/>
      <c r="R696" s="152"/>
    </row>
    <row r="697">
      <c r="E697" s="151"/>
      <c r="F697" s="265"/>
      <c r="G697" s="107"/>
      <c r="H697" s="264"/>
      <c r="I697" s="223"/>
      <c r="J697" s="148"/>
      <c r="K697" s="107"/>
      <c r="L697" s="265"/>
      <c r="M697" s="182"/>
      <c r="N697" s="152"/>
      <c r="O697" s="152"/>
      <c r="P697" s="152"/>
      <c r="Q697" s="152"/>
      <c r="R697" s="152"/>
    </row>
    <row r="698">
      <c r="E698" s="151"/>
      <c r="F698" s="265"/>
      <c r="G698" s="107"/>
      <c r="H698" s="264"/>
      <c r="I698" s="223"/>
      <c r="J698" s="148"/>
      <c r="K698" s="107"/>
      <c r="L698" s="265"/>
      <c r="M698" s="182"/>
      <c r="N698" s="152"/>
      <c r="O698" s="152"/>
      <c r="P698" s="152"/>
      <c r="Q698" s="152"/>
      <c r="R698" s="152"/>
    </row>
    <row r="699">
      <c r="E699" s="151"/>
      <c r="F699" s="265"/>
      <c r="G699" s="107"/>
      <c r="H699" s="264"/>
      <c r="I699" s="223"/>
      <c r="J699" s="148"/>
      <c r="K699" s="107"/>
      <c r="L699" s="265"/>
      <c r="M699" s="182"/>
      <c r="N699" s="152"/>
      <c r="O699" s="152"/>
      <c r="P699" s="152"/>
      <c r="Q699" s="152"/>
      <c r="R699" s="152"/>
    </row>
    <row r="700">
      <c r="E700" s="151"/>
      <c r="F700" s="265"/>
      <c r="G700" s="107"/>
      <c r="H700" s="264"/>
      <c r="I700" s="223"/>
      <c r="J700" s="148"/>
      <c r="K700" s="107"/>
      <c r="L700" s="265"/>
      <c r="M700" s="182"/>
      <c r="N700" s="152"/>
      <c r="O700" s="152"/>
      <c r="P700" s="152"/>
      <c r="Q700" s="152"/>
      <c r="R700" s="152"/>
    </row>
    <row r="701">
      <c r="E701" s="151"/>
      <c r="F701" s="265"/>
      <c r="G701" s="107"/>
      <c r="H701" s="264"/>
      <c r="I701" s="223"/>
      <c r="J701" s="148"/>
      <c r="K701" s="107"/>
      <c r="L701" s="265"/>
      <c r="M701" s="182"/>
      <c r="N701" s="152"/>
      <c r="O701" s="152"/>
      <c r="P701" s="152"/>
      <c r="Q701" s="152"/>
      <c r="R701" s="152"/>
    </row>
    <row r="702">
      <c r="E702" s="151"/>
      <c r="F702" s="265"/>
      <c r="G702" s="107"/>
      <c r="H702" s="264"/>
      <c r="I702" s="223"/>
      <c r="J702" s="148"/>
      <c r="K702" s="107"/>
      <c r="L702" s="265"/>
      <c r="M702" s="182"/>
      <c r="N702" s="152"/>
      <c r="O702" s="152"/>
      <c r="P702" s="152"/>
      <c r="Q702" s="152"/>
      <c r="R702" s="152"/>
    </row>
    <row r="703">
      <c r="E703" s="151"/>
      <c r="F703" s="265"/>
      <c r="G703" s="107"/>
      <c r="H703" s="264"/>
      <c r="I703" s="223"/>
      <c r="J703" s="148"/>
      <c r="K703" s="107"/>
      <c r="L703" s="265"/>
      <c r="M703" s="182"/>
      <c r="N703" s="152"/>
      <c r="O703" s="152"/>
      <c r="P703" s="152"/>
      <c r="Q703" s="152"/>
      <c r="R703" s="152"/>
    </row>
    <row r="704">
      <c r="E704" s="151"/>
      <c r="F704" s="265"/>
      <c r="G704" s="107"/>
      <c r="H704" s="264"/>
      <c r="I704" s="223"/>
      <c r="J704" s="148"/>
      <c r="K704" s="107"/>
      <c r="L704" s="265"/>
      <c r="M704" s="182"/>
      <c r="N704" s="152"/>
      <c r="O704" s="152"/>
      <c r="P704" s="152"/>
      <c r="Q704" s="152"/>
      <c r="R704" s="152"/>
    </row>
    <row r="705">
      <c r="E705" s="151"/>
      <c r="F705" s="265"/>
      <c r="G705" s="107"/>
      <c r="H705" s="264"/>
      <c r="I705" s="223"/>
      <c r="J705" s="148"/>
      <c r="K705" s="107"/>
      <c r="L705" s="265"/>
      <c r="M705" s="182"/>
      <c r="N705" s="152"/>
      <c r="O705" s="152"/>
      <c r="P705" s="152"/>
      <c r="Q705" s="152"/>
      <c r="R705" s="152"/>
    </row>
    <row r="706">
      <c r="E706" s="151"/>
      <c r="F706" s="265"/>
      <c r="G706" s="107"/>
      <c r="H706" s="264"/>
      <c r="I706" s="223"/>
      <c r="J706" s="148"/>
      <c r="K706" s="107"/>
      <c r="L706" s="265"/>
      <c r="M706" s="182"/>
      <c r="N706" s="152"/>
      <c r="O706" s="152"/>
      <c r="P706" s="152"/>
      <c r="Q706" s="152"/>
      <c r="R706" s="152"/>
    </row>
    <row r="707">
      <c r="E707" s="151"/>
      <c r="F707" s="265"/>
      <c r="G707" s="107"/>
      <c r="H707" s="264"/>
      <c r="I707" s="223"/>
      <c r="J707" s="148"/>
      <c r="K707" s="107"/>
      <c r="L707" s="265"/>
      <c r="M707" s="182"/>
      <c r="N707" s="152"/>
      <c r="O707" s="152"/>
      <c r="P707" s="152"/>
      <c r="Q707" s="152"/>
      <c r="R707" s="152"/>
    </row>
    <row r="708">
      <c r="E708" s="151"/>
      <c r="F708" s="265"/>
      <c r="G708" s="107"/>
      <c r="H708" s="264"/>
      <c r="I708" s="223"/>
      <c r="J708" s="148"/>
      <c r="K708" s="107"/>
      <c r="L708" s="265"/>
      <c r="M708" s="182"/>
      <c r="N708" s="152"/>
      <c r="O708" s="152"/>
      <c r="P708" s="152"/>
      <c r="Q708" s="152"/>
      <c r="R708" s="152"/>
    </row>
    <row r="709">
      <c r="E709" s="151"/>
      <c r="F709" s="265"/>
      <c r="G709" s="107"/>
      <c r="H709" s="264"/>
      <c r="I709" s="223"/>
      <c r="J709" s="148"/>
      <c r="K709" s="107"/>
      <c r="L709" s="265"/>
      <c r="M709" s="182"/>
      <c r="N709" s="152"/>
      <c r="O709" s="152"/>
      <c r="P709" s="152"/>
      <c r="Q709" s="152"/>
      <c r="R709" s="152"/>
    </row>
    <row r="710">
      <c r="E710" s="151"/>
      <c r="F710" s="265"/>
      <c r="G710" s="107"/>
      <c r="H710" s="264"/>
      <c r="I710" s="223"/>
      <c r="J710" s="148"/>
      <c r="K710" s="107"/>
      <c r="L710" s="265"/>
      <c r="M710" s="182"/>
      <c r="N710" s="152"/>
      <c r="O710" s="152"/>
      <c r="P710" s="152"/>
      <c r="Q710" s="152"/>
      <c r="R710" s="152"/>
    </row>
    <row r="711">
      <c r="E711" s="151"/>
      <c r="F711" s="265"/>
      <c r="G711" s="107"/>
      <c r="H711" s="264"/>
      <c r="I711" s="223"/>
      <c r="J711" s="148"/>
      <c r="K711" s="107"/>
      <c r="L711" s="265"/>
      <c r="M711" s="182"/>
      <c r="N711" s="152"/>
      <c r="O711" s="152"/>
      <c r="P711" s="152"/>
      <c r="Q711" s="152"/>
      <c r="R711" s="152"/>
    </row>
    <row r="712">
      <c r="E712" s="151"/>
      <c r="F712" s="265"/>
      <c r="G712" s="107"/>
      <c r="H712" s="264"/>
      <c r="I712" s="223"/>
      <c r="J712" s="148"/>
      <c r="K712" s="107"/>
      <c r="L712" s="265"/>
      <c r="M712" s="182"/>
      <c r="N712" s="152"/>
      <c r="O712" s="152"/>
      <c r="P712" s="152"/>
      <c r="Q712" s="152"/>
      <c r="R712" s="152"/>
    </row>
    <row r="713">
      <c r="E713" s="151"/>
      <c r="F713" s="265"/>
      <c r="G713" s="107"/>
      <c r="H713" s="264"/>
      <c r="I713" s="223"/>
      <c r="J713" s="148"/>
      <c r="K713" s="107"/>
      <c r="L713" s="265"/>
      <c r="M713" s="182"/>
      <c r="N713" s="152"/>
      <c r="O713" s="152"/>
      <c r="P713" s="152"/>
      <c r="Q713" s="152"/>
      <c r="R713" s="152"/>
    </row>
    <row r="714">
      <c r="E714" s="151"/>
      <c r="F714" s="265"/>
      <c r="G714" s="107"/>
      <c r="H714" s="264"/>
      <c r="I714" s="223"/>
      <c r="J714" s="148"/>
      <c r="K714" s="107"/>
      <c r="L714" s="265"/>
      <c r="M714" s="182"/>
      <c r="N714" s="152"/>
      <c r="O714" s="152"/>
      <c r="P714" s="152"/>
      <c r="Q714" s="152"/>
      <c r="R714" s="152"/>
    </row>
    <row r="715">
      <c r="E715" s="151"/>
      <c r="F715" s="265"/>
      <c r="G715" s="107"/>
      <c r="H715" s="264"/>
      <c r="I715" s="223"/>
      <c r="J715" s="148"/>
      <c r="K715" s="107"/>
      <c r="L715" s="265"/>
      <c r="M715" s="182"/>
      <c r="N715" s="152"/>
      <c r="O715" s="152"/>
      <c r="P715" s="152"/>
      <c r="Q715" s="152"/>
      <c r="R715" s="152"/>
    </row>
    <row r="716">
      <c r="E716" s="151"/>
      <c r="F716" s="265"/>
      <c r="G716" s="107"/>
      <c r="H716" s="264"/>
      <c r="I716" s="223"/>
      <c r="J716" s="148"/>
      <c r="K716" s="107"/>
      <c r="L716" s="265"/>
      <c r="M716" s="182"/>
      <c r="N716" s="152"/>
      <c r="O716" s="152"/>
      <c r="P716" s="152"/>
      <c r="Q716" s="152"/>
      <c r="R716" s="152"/>
    </row>
    <row r="717">
      <c r="E717" s="151"/>
      <c r="F717" s="265"/>
      <c r="G717" s="107"/>
      <c r="H717" s="264"/>
      <c r="I717" s="223"/>
      <c r="J717" s="148"/>
      <c r="K717" s="107"/>
      <c r="L717" s="265"/>
      <c r="M717" s="182"/>
      <c r="N717" s="152"/>
      <c r="O717" s="152"/>
      <c r="P717" s="152"/>
      <c r="Q717" s="152"/>
      <c r="R717" s="152"/>
    </row>
    <row r="718">
      <c r="E718" s="151"/>
      <c r="F718" s="265"/>
      <c r="G718" s="107"/>
      <c r="H718" s="264"/>
      <c r="I718" s="223"/>
      <c r="J718" s="148"/>
      <c r="K718" s="107"/>
      <c r="L718" s="265"/>
      <c r="M718" s="182"/>
      <c r="N718" s="152"/>
      <c r="O718" s="152"/>
      <c r="P718" s="152"/>
      <c r="Q718" s="152"/>
      <c r="R718" s="152"/>
    </row>
    <row r="719">
      <c r="E719" s="151"/>
      <c r="F719" s="265"/>
      <c r="G719" s="107"/>
      <c r="H719" s="264"/>
      <c r="I719" s="223"/>
      <c r="J719" s="148"/>
      <c r="K719" s="107"/>
      <c r="L719" s="265"/>
      <c r="M719" s="182"/>
      <c r="N719" s="152"/>
      <c r="O719" s="152"/>
      <c r="P719" s="152"/>
      <c r="Q719" s="152"/>
      <c r="R719" s="152"/>
    </row>
    <row r="720">
      <c r="E720" s="151"/>
      <c r="F720" s="265"/>
      <c r="G720" s="107"/>
      <c r="H720" s="264"/>
      <c r="I720" s="223"/>
      <c r="J720" s="148"/>
      <c r="K720" s="107"/>
      <c r="L720" s="265"/>
      <c r="M720" s="182"/>
      <c r="N720" s="152"/>
      <c r="O720" s="152"/>
      <c r="P720" s="152"/>
      <c r="Q720" s="152"/>
      <c r="R720" s="152"/>
    </row>
    <row r="721">
      <c r="E721" s="151"/>
      <c r="F721" s="265"/>
      <c r="G721" s="107"/>
      <c r="H721" s="264"/>
      <c r="I721" s="223"/>
      <c r="J721" s="148"/>
      <c r="K721" s="107"/>
      <c r="L721" s="265"/>
      <c r="M721" s="182"/>
      <c r="N721" s="152"/>
      <c r="O721" s="152"/>
      <c r="P721" s="152"/>
      <c r="Q721" s="152"/>
      <c r="R721" s="152"/>
    </row>
    <row r="722">
      <c r="E722" s="151"/>
      <c r="F722" s="265"/>
      <c r="G722" s="107"/>
      <c r="H722" s="264"/>
      <c r="I722" s="223"/>
      <c r="J722" s="148"/>
      <c r="K722" s="107"/>
      <c r="L722" s="265"/>
      <c r="M722" s="182"/>
      <c r="N722" s="152"/>
      <c r="O722" s="152"/>
      <c r="P722" s="152"/>
      <c r="Q722" s="152"/>
      <c r="R722" s="152"/>
    </row>
    <row r="723">
      <c r="E723" s="151"/>
      <c r="F723" s="265"/>
      <c r="G723" s="107"/>
      <c r="H723" s="264"/>
      <c r="I723" s="223"/>
      <c r="J723" s="148"/>
      <c r="K723" s="107"/>
      <c r="L723" s="265"/>
      <c r="M723" s="182"/>
      <c r="N723" s="152"/>
      <c r="O723" s="152"/>
      <c r="P723" s="152"/>
      <c r="Q723" s="152"/>
      <c r="R723" s="152"/>
    </row>
    <row r="724">
      <c r="E724" s="151"/>
      <c r="F724" s="265"/>
      <c r="G724" s="107"/>
      <c r="H724" s="264"/>
      <c r="I724" s="223"/>
      <c r="J724" s="148"/>
      <c r="K724" s="107"/>
      <c r="L724" s="265"/>
      <c r="M724" s="182"/>
      <c r="N724" s="152"/>
      <c r="O724" s="152"/>
      <c r="P724" s="152"/>
      <c r="Q724" s="152"/>
      <c r="R724" s="152"/>
    </row>
    <row r="725">
      <c r="E725" s="151"/>
      <c r="F725" s="265"/>
      <c r="G725" s="107"/>
      <c r="H725" s="264"/>
      <c r="I725" s="223"/>
      <c r="J725" s="148"/>
      <c r="K725" s="107"/>
      <c r="L725" s="265"/>
      <c r="M725" s="182"/>
      <c r="N725" s="152"/>
      <c r="O725" s="152"/>
      <c r="P725" s="152"/>
      <c r="Q725" s="152"/>
      <c r="R725" s="152"/>
    </row>
    <row r="726">
      <c r="E726" s="151"/>
      <c r="F726" s="265"/>
      <c r="G726" s="107"/>
      <c r="H726" s="264"/>
      <c r="I726" s="223"/>
      <c r="J726" s="148"/>
      <c r="K726" s="107"/>
      <c r="L726" s="265"/>
      <c r="M726" s="182"/>
      <c r="N726" s="152"/>
      <c r="O726" s="152"/>
      <c r="P726" s="152"/>
      <c r="Q726" s="152"/>
      <c r="R726" s="152"/>
    </row>
    <row r="727">
      <c r="E727" s="151"/>
      <c r="F727" s="265"/>
      <c r="G727" s="107"/>
      <c r="H727" s="264"/>
      <c r="I727" s="223"/>
      <c r="J727" s="148"/>
      <c r="K727" s="107"/>
      <c r="L727" s="265"/>
      <c r="M727" s="182"/>
      <c r="N727" s="152"/>
      <c r="O727" s="152"/>
      <c r="P727" s="152"/>
      <c r="Q727" s="152"/>
      <c r="R727" s="152"/>
    </row>
    <row r="728">
      <c r="E728" s="151"/>
      <c r="F728" s="265"/>
      <c r="G728" s="107"/>
      <c r="H728" s="264"/>
      <c r="I728" s="223"/>
      <c r="J728" s="148"/>
      <c r="K728" s="107"/>
      <c r="L728" s="265"/>
      <c r="M728" s="182"/>
      <c r="N728" s="152"/>
      <c r="O728" s="152"/>
      <c r="P728" s="152"/>
      <c r="Q728" s="152"/>
      <c r="R728" s="152"/>
    </row>
    <row r="729">
      <c r="E729" s="151"/>
      <c r="F729" s="265"/>
      <c r="G729" s="107"/>
      <c r="H729" s="264"/>
      <c r="I729" s="223"/>
      <c r="J729" s="148"/>
      <c r="K729" s="107"/>
      <c r="L729" s="265"/>
      <c r="M729" s="182"/>
      <c r="N729" s="152"/>
      <c r="O729" s="152"/>
      <c r="P729" s="152"/>
      <c r="Q729" s="152"/>
      <c r="R729" s="152"/>
    </row>
    <row r="730">
      <c r="E730" s="151"/>
      <c r="F730" s="265"/>
      <c r="G730" s="107"/>
      <c r="H730" s="264"/>
      <c r="I730" s="223"/>
      <c r="J730" s="148"/>
      <c r="K730" s="107"/>
      <c r="L730" s="265"/>
      <c r="M730" s="182"/>
      <c r="N730" s="152"/>
      <c r="O730" s="152"/>
      <c r="P730" s="152"/>
      <c r="Q730" s="152"/>
      <c r="R730" s="152"/>
    </row>
    <row r="731">
      <c r="E731" s="151"/>
      <c r="F731" s="265"/>
      <c r="G731" s="107"/>
      <c r="H731" s="264"/>
      <c r="I731" s="223"/>
      <c r="J731" s="148"/>
      <c r="K731" s="107"/>
      <c r="L731" s="265"/>
      <c r="M731" s="182"/>
      <c r="N731" s="152"/>
      <c r="O731" s="152"/>
      <c r="P731" s="152"/>
      <c r="Q731" s="152"/>
      <c r="R731" s="152"/>
    </row>
    <row r="732">
      <c r="E732" s="151"/>
      <c r="F732" s="265"/>
      <c r="G732" s="107"/>
      <c r="H732" s="264"/>
      <c r="I732" s="223"/>
      <c r="J732" s="148"/>
      <c r="K732" s="107"/>
      <c r="L732" s="265"/>
      <c r="M732" s="182"/>
      <c r="N732" s="152"/>
      <c r="O732" s="152"/>
      <c r="P732" s="152"/>
      <c r="Q732" s="152"/>
      <c r="R732" s="152"/>
    </row>
    <row r="733">
      <c r="E733" s="151"/>
      <c r="F733" s="265"/>
      <c r="G733" s="107"/>
      <c r="H733" s="264"/>
      <c r="I733" s="223"/>
      <c r="J733" s="148"/>
      <c r="K733" s="107"/>
      <c r="L733" s="265"/>
      <c r="M733" s="182"/>
      <c r="N733" s="152"/>
      <c r="O733" s="152"/>
      <c r="P733" s="152"/>
      <c r="Q733" s="152"/>
      <c r="R733" s="152"/>
    </row>
    <row r="734">
      <c r="E734" s="151"/>
      <c r="F734" s="265"/>
      <c r="G734" s="107"/>
      <c r="H734" s="264"/>
      <c r="I734" s="223"/>
      <c r="J734" s="148"/>
      <c r="K734" s="107"/>
      <c r="L734" s="265"/>
      <c r="M734" s="182"/>
      <c r="N734" s="152"/>
      <c r="O734" s="152"/>
      <c r="P734" s="152"/>
      <c r="Q734" s="152"/>
      <c r="R734" s="152"/>
    </row>
    <row r="735">
      <c r="E735" s="151"/>
      <c r="F735" s="265"/>
      <c r="G735" s="107"/>
      <c r="H735" s="264"/>
      <c r="I735" s="223"/>
      <c r="J735" s="148"/>
      <c r="K735" s="107"/>
      <c r="L735" s="265"/>
      <c r="M735" s="182"/>
      <c r="N735" s="152"/>
      <c r="O735" s="152"/>
      <c r="P735" s="152"/>
      <c r="Q735" s="152"/>
      <c r="R735" s="152"/>
    </row>
    <row r="736">
      <c r="E736" s="151"/>
      <c r="F736" s="265"/>
      <c r="G736" s="107"/>
      <c r="H736" s="264"/>
      <c r="I736" s="223"/>
      <c r="J736" s="148"/>
      <c r="K736" s="107"/>
      <c r="L736" s="265"/>
      <c r="M736" s="182"/>
      <c r="N736" s="152"/>
      <c r="O736" s="152"/>
      <c r="P736" s="152"/>
      <c r="Q736" s="152"/>
      <c r="R736" s="152"/>
    </row>
    <row r="737">
      <c r="E737" s="151"/>
      <c r="F737" s="265"/>
      <c r="G737" s="107"/>
      <c r="H737" s="264"/>
      <c r="I737" s="223"/>
      <c r="J737" s="148"/>
      <c r="K737" s="107"/>
      <c r="L737" s="265"/>
      <c r="M737" s="182"/>
      <c r="N737" s="152"/>
      <c r="O737" s="152"/>
      <c r="P737" s="152"/>
      <c r="Q737" s="152"/>
      <c r="R737" s="152"/>
    </row>
    <row r="738">
      <c r="E738" s="151"/>
      <c r="F738" s="265"/>
      <c r="G738" s="107"/>
      <c r="H738" s="264"/>
      <c r="I738" s="223"/>
      <c r="J738" s="148"/>
      <c r="K738" s="107"/>
      <c r="L738" s="265"/>
      <c r="M738" s="182"/>
      <c r="N738" s="152"/>
      <c r="O738" s="152"/>
      <c r="P738" s="152"/>
      <c r="Q738" s="152"/>
      <c r="R738" s="152"/>
    </row>
    <row r="739">
      <c r="E739" s="151"/>
      <c r="F739" s="265"/>
      <c r="G739" s="107"/>
      <c r="H739" s="264"/>
      <c r="I739" s="223"/>
      <c r="J739" s="148"/>
      <c r="K739" s="107"/>
      <c r="L739" s="265"/>
      <c r="M739" s="182"/>
      <c r="N739" s="152"/>
      <c r="O739" s="152"/>
      <c r="P739" s="152"/>
      <c r="Q739" s="152"/>
      <c r="R739" s="152"/>
    </row>
    <row r="740">
      <c r="E740" s="151"/>
      <c r="F740" s="265"/>
      <c r="G740" s="107"/>
      <c r="H740" s="264"/>
      <c r="I740" s="223"/>
      <c r="J740" s="148"/>
      <c r="K740" s="107"/>
      <c r="L740" s="265"/>
      <c r="M740" s="182"/>
      <c r="N740" s="152"/>
      <c r="O740" s="152"/>
      <c r="P740" s="152"/>
      <c r="Q740" s="152"/>
      <c r="R740" s="152"/>
    </row>
    <row r="741">
      <c r="E741" s="151"/>
      <c r="F741" s="265"/>
      <c r="G741" s="107"/>
      <c r="H741" s="264"/>
      <c r="I741" s="223"/>
      <c r="J741" s="148"/>
      <c r="K741" s="107"/>
      <c r="L741" s="265"/>
      <c r="M741" s="182"/>
      <c r="N741" s="152"/>
      <c r="O741" s="152"/>
      <c r="P741" s="152"/>
      <c r="Q741" s="152"/>
      <c r="R741" s="152"/>
    </row>
    <row r="742">
      <c r="E742" s="151"/>
      <c r="F742" s="265"/>
      <c r="G742" s="107"/>
      <c r="H742" s="264"/>
      <c r="I742" s="223"/>
      <c r="J742" s="148"/>
      <c r="K742" s="107"/>
      <c r="L742" s="265"/>
      <c r="M742" s="182"/>
      <c r="N742" s="152"/>
      <c r="O742" s="152"/>
      <c r="P742" s="152"/>
      <c r="Q742" s="152"/>
      <c r="R742" s="152"/>
    </row>
    <row r="743">
      <c r="E743" s="151"/>
      <c r="F743" s="265"/>
      <c r="G743" s="107"/>
      <c r="H743" s="264"/>
      <c r="I743" s="223"/>
      <c r="J743" s="148"/>
      <c r="K743" s="107"/>
      <c r="L743" s="265"/>
      <c r="M743" s="182"/>
      <c r="N743" s="152"/>
      <c r="O743" s="152"/>
      <c r="P743" s="152"/>
      <c r="Q743" s="152"/>
      <c r="R743" s="152"/>
    </row>
    <row r="744">
      <c r="E744" s="151"/>
      <c r="F744" s="265"/>
      <c r="G744" s="107"/>
      <c r="H744" s="264"/>
      <c r="I744" s="223"/>
      <c r="J744" s="148"/>
      <c r="K744" s="107"/>
      <c r="L744" s="265"/>
      <c r="M744" s="182"/>
      <c r="N744" s="152"/>
      <c r="O744" s="152"/>
      <c r="P744" s="152"/>
      <c r="Q744" s="152"/>
      <c r="R744" s="152"/>
    </row>
    <row r="745">
      <c r="E745" s="151"/>
      <c r="F745" s="265"/>
      <c r="G745" s="107"/>
      <c r="H745" s="264"/>
      <c r="I745" s="223"/>
      <c r="J745" s="148"/>
      <c r="K745" s="107"/>
      <c r="L745" s="265"/>
      <c r="M745" s="182"/>
      <c r="N745" s="152"/>
      <c r="O745" s="152"/>
      <c r="P745" s="152"/>
      <c r="Q745" s="152"/>
      <c r="R745" s="152"/>
    </row>
    <row r="746">
      <c r="E746" s="151"/>
      <c r="F746" s="265"/>
      <c r="G746" s="107"/>
      <c r="H746" s="264"/>
      <c r="I746" s="223"/>
      <c r="J746" s="148"/>
      <c r="K746" s="107"/>
      <c r="L746" s="265"/>
      <c r="M746" s="182"/>
      <c r="N746" s="152"/>
      <c r="O746" s="152"/>
      <c r="P746" s="152"/>
      <c r="Q746" s="152"/>
      <c r="R746" s="152"/>
    </row>
    <row r="747">
      <c r="E747" s="151"/>
      <c r="F747" s="265"/>
      <c r="G747" s="107"/>
      <c r="H747" s="264"/>
      <c r="I747" s="223"/>
      <c r="J747" s="148"/>
      <c r="K747" s="107"/>
      <c r="L747" s="265"/>
      <c r="M747" s="182"/>
      <c r="N747" s="152"/>
      <c r="O747" s="152"/>
      <c r="P747" s="152"/>
      <c r="Q747" s="152"/>
      <c r="R747" s="152"/>
    </row>
    <row r="748">
      <c r="E748" s="151"/>
      <c r="F748" s="265"/>
      <c r="G748" s="107"/>
      <c r="H748" s="264"/>
      <c r="I748" s="223"/>
      <c r="J748" s="148"/>
      <c r="K748" s="107"/>
      <c r="L748" s="265"/>
      <c r="M748" s="182"/>
      <c r="N748" s="152"/>
      <c r="O748" s="152"/>
      <c r="P748" s="152"/>
      <c r="Q748" s="152"/>
      <c r="R748" s="152"/>
    </row>
    <row r="749">
      <c r="E749" s="151"/>
      <c r="F749" s="265"/>
      <c r="G749" s="107"/>
      <c r="H749" s="264"/>
      <c r="I749" s="223"/>
      <c r="J749" s="148"/>
      <c r="K749" s="107"/>
      <c r="L749" s="265"/>
      <c r="M749" s="182"/>
      <c r="N749" s="152"/>
      <c r="O749" s="152"/>
      <c r="P749" s="152"/>
      <c r="Q749" s="152"/>
      <c r="R749" s="152"/>
    </row>
    <row r="750">
      <c r="E750" s="151"/>
      <c r="F750" s="265"/>
      <c r="G750" s="107"/>
      <c r="H750" s="264"/>
      <c r="I750" s="223"/>
      <c r="J750" s="148"/>
      <c r="K750" s="107"/>
      <c r="L750" s="265"/>
      <c r="M750" s="182"/>
      <c r="N750" s="152"/>
      <c r="O750" s="152"/>
      <c r="P750" s="152"/>
      <c r="Q750" s="152"/>
      <c r="R750" s="152"/>
    </row>
    <row r="751">
      <c r="E751" s="151"/>
      <c r="F751" s="265"/>
      <c r="G751" s="107"/>
      <c r="H751" s="264"/>
      <c r="I751" s="223"/>
      <c r="J751" s="148"/>
      <c r="K751" s="107"/>
      <c r="L751" s="265"/>
      <c r="M751" s="182"/>
      <c r="N751" s="152"/>
      <c r="O751" s="152"/>
      <c r="P751" s="152"/>
      <c r="Q751" s="152"/>
      <c r="R751" s="152"/>
    </row>
    <row r="752">
      <c r="E752" s="151"/>
      <c r="F752" s="265"/>
      <c r="G752" s="107"/>
      <c r="H752" s="264"/>
      <c r="I752" s="223"/>
      <c r="J752" s="148"/>
      <c r="K752" s="107"/>
      <c r="L752" s="265"/>
      <c r="M752" s="182"/>
      <c r="N752" s="152"/>
      <c r="O752" s="152"/>
      <c r="P752" s="152"/>
      <c r="Q752" s="152"/>
      <c r="R752" s="152"/>
    </row>
    <row r="753">
      <c r="E753" s="151"/>
      <c r="F753" s="265"/>
      <c r="G753" s="107"/>
      <c r="H753" s="264"/>
      <c r="I753" s="223"/>
      <c r="J753" s="148"/>
      <c r="K753" s="107"/>
      <c r="L753" s="265"/>
      <c r="M753" s="182"/>
      <c r="N753" s="152"/>
      <c r="O753" s="152"/>
      <c r="P753" s="152"/>
      <c r="Q753" s="152"/>
      <c r="R753" s="152"/>
    </row>
    <row r="754">
      <c r="E754" s="151"/>
      <c r="F754" s="265"/>
      <c r="G754" s="107"/>
      <c r="H754" s="264"/>
      <c r="I754" s="223"/>
      <c r="J754" s="148"/>
      <c r="K754" s="107"/>
      <c r="L754" s="265"/>
      <c r="M754" s="182"/>
      <c r="N754" s="152"/>
      <c r="O754" s="152"/>
      <c r="P754" s="152"/>
      <c r="Q754" s="152"/>
      <c r="R754" s="152"/>
    </row>
    <row r="755">
      <c r="E755" s="151"/>
      <c r="F755" s="265"/>
      <c r="G755" s="107"/>
      <c r="H755" s="264"/>
      <c r="I755" s="223"/>
      <c r="J755" s="148"/>
      <c r="K755" s="107"/>
      <c r="L755" s="265"/>
      <c r="M755" s="182"/>
      <c r="N755" s="152"/>
      <c r="O755" s="152"/>
      <c r="P755" s="152"/>
      <c r="Q755" s="152"/>
      <c r="R755" s="152"/>
    </row>
    <row r="756">
      <c r="E756" s="151"/>
      <c r="F756" s="265"/>
      <c r="G756" s="107"/>
      <c r="H756" s="264"/>
      <c r="I756" s="223"/>
      <c r="J756" s="148"/>
      <c r="K756" s="107"/>
      <c r="L756" s="265"/>
      <c r="M756" s="182"/>
      <c r="N756" s="152"/>
      <c r="O756" s="152"/>
      <c r="P756" s="152"/>
      <c r="Q756" s="152"/>
      <c r="R756" s="152"/>
    </row>
    <row r="757">
      <c r="E757" s="151"/>
      <c r="F757" s="265"/>
      <c r="G757" s="107"/>
      <c r="H757" s="264"/>
      <c r="I757" s="223"/>
      <c r="J757" s="148"/>
      <c r="K757" s="107"/>
      <c r="L757" s="265"/>
      <c r="M757" s="182"/>
      <c r="N757" s="152"/>
      <c r="O757" s="152"/>
      <c r="P757" s="152"/>
      <c r="Q757" s="152"/>
      <c r="R757" s="152"/>
    </row>
    <row r="758">
      <c r="E758" s="151"/>
      <c r="F758" s="265"/>
      <c r="G758" s="107"/>
      <c r="H758" s="264"/>
      <c r="I758" s="223"/>
      <c r="J758" s="148"/>
      <c r="K758" s="107"/>
      <c r="L758" s="265"/>
      <c r="M758" s="182"/>
      <c r="N758" s="152"/>
      <c r="O758" s="152"/>
      <c r="P758" s="152"/>
      <c r="Q758" s="152"/>
      <c r="R758" s="152"/>
    </row>
    <row r="759">
      <c r="E759" s="151"/>
      <c r="F759" s="265"/>
      <c r="G759" s="107"/>
      <c r="H759" s="264"/>
      <c r="I759" s="223"/>
      <c r="J759" s="148"/>
      <c r="K759" s="107"/>
      <c r="L759" s="265"/>
      <c r="M759" s="182"/>
      <c r="N759" s="152"/>
      <c r="O759" s="152"/>
      <c r="P759" s="152"/>
      <c r="Q759" s="152"/>
      <c r="R759" s="152"/>
    </row>
    <row r="760">
      <c r="E760" s="151"/>
      <c r="F760" s="265"/>
      <c r="G760" s="107"/>
      <c r="H760" s="264"/>
      <c r="I760" s="223"/>
      <c r="J760" s="148"/>
      <c r="K760" s="107"/>
      <c r="L760" s="265"/>
      <c r="M760" s="182"/>
      <c r="N760" s="152"/>
      <c r="O760" s="152"/>
      <c r="P760" s="152"/>
      <c r="Q760" s="152"/>
      <c r="R760" s="152"/>
    </row>
    <row r="761">
      <c r="E761" s="151"/>
      <c r="F761" s="265"/>
      <c r="G761" s="107"/>
      <c r="H761" s="264"/>
      <c r="I761" s="223"/>
      <c r="J761" s="148"/>
      <c r="K761" s="107"/>
      <c r="L761" s="265"/>
      <c r="M761" s="182"/>
      <c r="N761" s="152"/>
      <c r="O761" s="152"/>
      <c r="P761" s="152"/>
      <c r="Q761" s="152"/>
      <c r="R761" s="152"/>
    </row>
    <row r="762">
      <c r="E762" s="151"/>
      <c r="F762" s="265"/>
      <c r="G762" s="107"/>
      <c r="H762" s="264"/>
      <c r="I762" s="223"/>
      <c r="J762" s="148"/>
      <c r="K762" s="107"/>
      <c r="L762" s="265"/>
      <c r="M762" s="182"/>
      <c r="N762" s="152"/>
      <c r="O762" s="152"/>
      <c r="P762" s="152"/>
      <c r="Q762" s="152"/>
      <c r="R762" s="152"/>
    </row>
    <row r="763">
      <c r="E763" s="151"/>
      <c r="F763" s="265"/>
      <c r="G763" s="107"/>
      <c r="H763" s="264"/>
      <c r="I763" s="223"/>
      <c r="J763" s="148"/>
      <c r="K763" s="107"/>
      <c r="L763" s="265"/>
      <c r="M763" s="182"/>
      <c r="N763" s="152"/>
      <c r="O763" s="152"/>
      <c r="P763" s="152"/>
      <c r="Q763" s="152"/>
      <c r="R763" s="152"/>
    </row>
    <row r="764">
      <c r="E764" s="151"/>
      <c r="F764" s="265"/>
      <c r="G764" s="107"/>
      <c r="H764" s="264"/>
      <c r="I764" s="223"/>
      <c r="J764" s="148"/>
      <c r="K764" s="107"/>
      <c r="L764" s="265"/>
      <c r="M764" s="182"/>
      <c r="N764" s="152"/>
      <c r="O764" s="152"/>
      <c r="P764" s="152"/>
      <c r="Q764" s="152"/>
      <c r="R764" s="152"/>
    </row>
    <row r="765">
      <c r="E765" s="151"/>
      <c r="F765" s="265"/>
      <c r="G765" s="107"/>
      <c r="H765" s="264"/>
      <c r="I765" s="223"/>
      <c r="J765" s="148"/>
      <c r="K765" s="107"/>
      <c r="L765" s="265"/>
      <c r="M765" s="182"/>
      <c r="N765" s="152"/>
      <c r="O765" s="152"/>
      <c r="P765" s="152"/>
      <c r="Q765" s="152"/>
      <c r="R765" s="152"/>
    </row>
    <row r="766">
      <c r="E766" s="151"/>
      <c r="F766" s="265"/>
      <c r="G766" s="107"/>
      <c r="H766" s="264"/>
      <c r="I766" s="223"/>
      <c r="J766" s="148"/>
      <c r="K766" s="107"/>
      <c r="L766" s="265"/>
      <c r="M766" s="182"/>
      <c r="N766" s="152"/>
      <c r="O766" s="152"/>
      <c r="P766" s="152"/>
      <c r="Q766" s="152"/>
      <c r="R766" s="152"/>
    </row>
    <row r="767">
      <c r="E767" s="151"/>
      <c r="F767" s="265"/>
      <c r="G767" s="107"/>
      <c r="H767" s="264"/>
      <c r="I767" s="223"/>
      <c r="J767" s="148"/>
      <c r="K767" s="107"/>
      <c r="L767" s="265"/>
      <c r="M767" s="182"/>
      <c r="N767" s="152"/>
      <c r="O767" s="152"/>
      <c r="P767" s="152"/>
      <c r="Q767" s="152"/>
      <c r="R767" s="152"/>
    </row>
    <row r="768">
      <c r="E768" s="151"/>
      <c r="F768" s="265"/>
      <c r="G768" s="107"/>
      <c r="H768" s="264"/>
      <c r="I768" s="223"/>
      <c r="J768" s="148"/>
      <c r="K768" s="107"/>
      <c r="L768" s="265"/>
      <c r="M768" s="182"/>
      <c r="N768" s="152"/>
      <c r="O768" s="152"/>
      <c r="P768" s="152"/>
      <c r="Q768" s="152"/>
      <c r="R768" s="152"/>
    </row>
    <row r="769">
      <c r="E769" s="151"/>
      <c r="F769" s="265"/>
      <c r="G769" s="107"/>
      <c r="H769" s="264"/>
      <c r="I769" s="223"/>
      <c r="J769" s="148"/>
      <c r="K769" s="107"/>
      <c r="L769" s="265"/>
      <c r="M769" s="182"/>
      <c r="N769" s="152"/>
      <c r="O769" s="152"/>
      <c r="P769" s="152"/>
      <c r="Q769" s="152"/>
      <c r="R769" s="152"/>
    </row>
    <row r="770">
      <c r="E770" s="151"/>
      <c r="F770" s="265"/>
      <c r="G770" s="107"/>
      <c r="H770" s="264"/>
      <c r="I770" s="223"/>
      <c r="J770" s="148"/>
      <c r="K770" s="107"/>
      <c r="L770" s="265"/>
      <c r="M770" s="182"/>
      <c r="N770" s="152"/>
      <c r="O770" s="152"/>
      <c r="P770" s="152"/>
      <c r="Q770" s="152"/>
      <c r="R770" s="152"/>
    </row>
    <row r="771">
      <c r="E771" s="151"/>
      <c r="F771" s="265"/>
      <c r="G771" s="107"/>
      <c r="H771" s="264"/>
      <c r="I771" s="223"/>
      <c r="J771" s="148"/>
      <c r="K771" s="107"/>
      <c r="L771" s="265"/>
      <c r="M771" s="182"/>
      <c r="N771" s="152"/>
      <c r="O771" s="152"/>
      <c r="P771" s="152"/>
      <c r="Q771" s="152"/>
      <c r="R771" s="152"/>
    </row>
    <row r="772">
      <c r="E772" s="151"/>
      <c r="F772" s="265"/>
      <c r="G772" s="107"/>
      <c r="H772" s="264"/>
      <c r="I772" s="223"/>
      <c r="J772" s="148"/>
      <c r="K772" s="107"/>
      <c r="L772" s="265"/>
      <c r="M772" s="182"/>
      <c r="N772" s="152"/>
      <c r="O772" s="152"/>
      <c r="P772" s="152"/>
      <c r="Q772" s="152"/>
      <c r="R772" s="152"/>
    </row>
    <row r="773">
      <c r="E773" s="151"/>
      <c r="F773" s="265"/>
      <c r="G773" s="107"/>
      <c r="H773" s="264"/>
      <c r="I773" s="223"/>
      <c r="J773" s="148"/>
      <c r="K773" s="107"/>
      <c r="L773" s="265"/>
      <c r="M773" s="182"/>
      <c r="N773" s="152"/>
      <c r="O773" s="152"/>
      <c r="P773" s="152"/>
      <c r="Q773" s="152"/>
      <c r="R773" s="152"/>
    </row>
    <row r="774">
      <c r="E774" s="151"/>
      <c r="F774" s="265"/>
      <c r="G774" s="107"/>
      <c r="H774" s="264"/>
      <c r="I774" s="223"/>
      <c r="J774" s="148"/>
      <c r="K774" s="107"/>
      <c r="L774" s="265"/>
      <c r="M774" s="182"/>
      <c r="N774" s="152"/>
      <c r="O774" s="152"/>
      <c r="P774" s="152"/>
      <c r="Q774" s="152"/>
      <c r="R774" s="152"/>
    </row>
    <row r="775">
      <c r="E775" s="151"/>
      <c r="F775" s="265"/>
      <c r="G775" s="107"/>
      <c r="H775" s="264"/>
      <c r="I775" s="223"/>
      <c r="J775" s="148"/>
      <c r="K775" s="107"/>
      <c r="L775" s="265"/>
      <c r="M775" s="182"/>
      <c r="N775" s="152"/>
      <c r="O775" s="152"/>
      <c r="P775" s="152"/>
      <c r="Q775" s="152"/>
      <c r="R775" s="152"/>
    </row>
    <row r="776">
      <c r="E776" s="151"/>
      <c r="F776" s="265"/>
      <c r="G776" s="107"/>
      <c r="H776" s="264"/>
      <c r="I776" s="223"/>
      <c r="J776" s="148"/>
      <c r="K776" s="107"/>
      <c r="L776" s="265"/>
      <c r="M776" s="182"/>
      <c r="N776" s="152"/>
      <c r="O776" s="152"/>
      <c r="P776" s="152"/>
      <c r="Q776" s="152"/>
      <c r="R776" s="152"/>
    </row>
    <row r="777">
      <c r="E777" s="151"/>
      <c r="F777" s="265"/>
      <c r="G777" s="107"/>
      <c r="H777" s="264"/>
      <c r="I777" s="223"/>
      <c r="J777" s="148"/>
      <c r="K777" s="107"/>
      <c r="L777" s="265"/>
      <c r="M777" s="182"/>
      <c r="N777" s="152"/>
      <c r="O777" s="152"/>
      <c r="P777" s="152"/>
      <c r="Q777" s="152"/>
      <c r="R777" s="152"/>
    </row>
    <row r="778">
      <c r="E778" s="151"/>
      <c r="F778" s="265"/>
      <c r="G778" s="107"/>
      <c r="H778" s="264"/>
      <c r="I778" s="223"/>
      <c r="J778" s="148"/>
      <c r="K778" s="107"/>
      <c r="L778" s="265"/>
      <c r="M778" s="182"/>
      <c r="N778" s="152"/>
      <c r="O778" s="152"/>
      <c r="P778" s="152"/>
      <c r="Q778" s="152"/>
      <c r="R778" s="152"/>
    </row>
    <row r="779">
      <c r="E779" s="151"/>
      <c r="F779" s="265"/>
      <c r="G779" s="107"/>
      <c r="H779" s="264"/>
      <c r="I779" s="223"/>
      <c r="J779" s="148"/>
      <c r="K779" s="107"/>
      <c r="L779" s="265"/>
      <c r="M779" s="182"/>
      <c r="N779" s="152"/>
      <c r="O779" s="152"/>
      <c r="P779" s="152"/>
      <c r="Q779" s="152"/>
      <c r="R779" s="152"/>
    </row>
    <row r="780">
      <c r="E780" s="151"/>
      <c r="F780" s="265"/>
      <c r="G780" s="107"/>
      <c r="H780" s="264"/>
      <c r="I780" s="223"/>
      <c r="J780" s="148"/>
      <c r="K780" s="107"/>
      <c r="L780" s="265"/>
      <c r="M780" s="182"/>
      <c r="N780" s="152"/>
      <c r="O780" s="152"/>
      <c r="P780" s="152"/>
      <c r="Q780" s="152"/>
      <c r="R780" s="152"/>
    </row>
    <row r="781">
      <c r="E781" s="151"/>
      <c r="F781" s="265"/>
      <c r="G781" s="107"/>
      <c r="H781" s="264"/>
      <c r="I781" s="223"/>
      <c r="J781" s="148"/>
      <c r="K781" s="107"/>
      <c r="L781" s="265"/>
      <c r="M781" s="182"/>
      <c r="N781" s="152"/>
      <c r="O781" s="152"/>
      <c r="P781" s="152"/>
      <c r="Q781" s="152"/>
      <c r="R781" s="152"/>
    </row>
    <row r="782">
      <c r="E782" s="151"/>
      <c r="F782" s="265"/>
      <c r="G782" s="107"/>
      <c r="H782" s="264"/>
      <c r="I782" s="223"/>
      <c r="J782" s="148"/>
      <c r="K782" s="107"/>
      <c r="L782" s="265"/>
      <c r="M782" s="182"/>
      <c r="N782" s="152"/>
      <c r="O782" s="152"/>
      <c r="P782" s="152"/>
      <c r="Q782" s="152"/>
      <c r="R782" s="152"/>
    </row>
    <row r="783">
      <c r="E783" s="151"/>
      <c r="F783" s="265"/>
      <c r="G783" s="107"/>
      <c r="H783" s="264"/>
      <c r="I783" s="223"/>
      <c r="J783" s="148"/>
      <c r="K783" s="107"/>
      <c r="L783" s="265"/>
      <c r="M783" s="182"/>
      <c r="N783" s="152"/>
      <c r="O783" s="152"/>
      <c r="P783" s="152"/>
      <c r="Q783" s="152"/>
      <c r="R783" s="152"/>
    </row>
    <row r="784">
      <c r="E784" s="151"/>
      <c r="F784" s="265"/>
      <c r="G784" s="107"/>
      <c r="H784" s="264"/>
      <c r="I784" s="223"/>
      <c r="J784" s="148"/>
      <c r="K784" s="107"/>
      <c r="L784" s="265"/>
      <c r="M784" s="182"/>
      <c r="N784" s="152"/>
      <c r="O784" s="152"/>
      <c r="P784" s="152"/>
      <c r="Q784" s="152"/>
      <c r="R784" s="152"/>
    </row>
    <row r="785">
      <c r="E785" s="151"/>
      <c r="F785" s="265"/>
      <c r="G785" s="107"/>
      <c r="H785" s="264"/>
      <c r="I785" s="223"/>
      <c r="J785" s="148"/>
      <c r="K785" s="107"/>
      <c r="L785" s="265"/>
      <c r="M785" s="182"/>
      <c r="N785" s="152"/>
      <c r="O785" s="152"/>
      <c r="P785" s="152"/>
      <c r="Q785" s="152"/>
      <c r="R785" s="152"/>
    </row>
    <row r="786">
      <c r="E786" s="151"/>
      <c r="F786" s="265"/>
      <c r="G786" s="107"/>
      <c r="H786" s="264"/>
      <c r="I786" s="223"/>
      <c r="J786" s="148"/>
      <c r="K786" s="107"/>
      <c r="L786" s="265"/>
      <c r="M786" s="182"/>
      <c r="N786" s="152"/>
      <c r="O786" s="152"/>
      <c r="P786" s="152"/>
      <c r="Q786" s="152"/>
      <c r="R786" s="152"/>
    </row>
    <row r="787">
      <c r="E787" s="151"/>
      <c r="F787" s="265"/>
      <c r="G787" s="107"/>
      <c r="H787" s="264"/>
      <c r="I787" s="223"/>
      <c r="J787" s="148"/>
      <c r="K787" s="107"/>
      <c r="L787" s="265"/>
      <c r="M787" s="182"/>
      <c r="N787" s="152"/>
      <c r="O787" s="152"/>
      <c r="P787" s="152"/>
      <c r="Q787" s="152"/>
      <c r="R787" s="152"/>
    </row>
    <row r="788">
      <c r="E788" s="151"/>
      <c r="F788" s="265"/>
      <c r="G788" s="107"/>
      <c r="H788" s="264"/>
      <c r="I788" s="223"/>
      <c r="J788" s="148"/>
      <c r="K788" s="107"/>
      <c r="L788" s="265"/>
      <c r="M788" s="182"/>
      <c r="N788" s="152"/>
      <c r="O788" s="152"/>
      <c r="P788" s="152"/>
      <c r="Q788" s="152"/>
      <c r="R788" s="152"/>
    </row>
    <row r="789">
      <c r="E789" s="151"/>
      <c r="F789" s="265"/>
      <c r="G789" s="107"/>
      <c r="H789" s="264"/>
      <c r="I789" s="223"/>
      <c r="J789" s="148"/>
      <c r="K789" s="107"/>
      <c r="L789" s="265"/>
      <c r="M789" s="182"/>
      <c r="N789" s="152"/>
      <c r="O789" s="152"/>
      <c r="P789" s="152"/>
      <c r="Q789" s="152"/>
      <c r="R789" s="152"/>
    </row>
    <row r="790">
      <c r="E790" s="151"/>
      <c r="F790" s="265"/>
      <c r="G790" s="107"/>
      <c r="H790" s="264"/>
      <c r="I790" s="223"/>
      <c r="J790" s="148"/>
      <c r="K790" s="107"/>
      <c r="L790" s="265"/>
      <c r="M790" s="182"/>
      <c r="N790" s="152"/>
      <c r="O790" s="152"/>
      <c r="P790" s="152"/>
      <c r="Q790" s="152"/>
      <c r="R790" s="152"/>
    </row>
    <row r="791">
      <c r="E791" s="151"/>
      <c r="F791" s="265"/>
      <c r="G791" s="107"/>
      <c r="H791" s="264"/>
      <c r="I791" s="223"/>
      <c r="J791" s="148"/>
      <c r="K791" s="107"/>
      <c r="L791" s="265"/>
      <c r="M791" s="182"/>
      <c r="N791" s="152"/>
      <c r="O791" s="152"/>
      <c r="P791" s="152"/>
      <c r="Q791" s="152"/>
      <c r="R791" s="152"/>
    </row>
    <row r="792">
      <c r="E792" s="151"/>
      <c r="F792" s="265"/>
      <c r="G792" s="107"/>
      <c r="H792" s="264"/>
      <c r="I792" s="223"/>
      <c r="J792" s="148"/>
      <c r="K792" s="107"/>
      <c r="L792" s="265"/>
      <c r="M792" s="182"/>
      <c r="N792" s="152"/>
      <c r="O792" s="152"/>
      <c r="P792" s="152"/>
      <c r="Q792" s="152"/>
      <c r="R792" s="152"/>
    </row>
    <row r="793">
      <c r="E793" s="151"/>
      <c r="F793" s="265"/>
      <c r="G793" s="107"/>
      <c r="H793" s="264"/>
      <c r="I793" s="223"/>
      <c r="J793" s="148"/>
      <c r="K793" s="107"/>
      <c r="L793" s="265"/>
      <c r="M793" s="182"/>
      <c r="N793" s="152"/>
      <c r="O793" s="152"/>
      <c r="P793" s="152"/>
      <c r="Q793" s="152"/>
      <c r="R793" s="152"/>
    </row>
    <row r="794">
      <c r="E794" s="151"/>
      <c r="F794" s="265"/>
      <c r="G794" s="107"/>
      <c r="H794" s="264"/>
      <c r="I794" s="223"/>
      <c r="J794" s="148"/>
      <c r="K794" s="107"/>
      <c r="L794" s="265"/>
      <c r="M794" s="182"/>
      <c r="N794" s="152"/>
      <c r="O794" s="152"/>
      <c r="P794" s="152"/>
      <c r="Q794" s="152"/>
      <c r="R794" s="152"/>
    </row>
    <row r="795">
      <c r="E795" s="151"/>
      <c r="F795" s="265"/>
      <c r="G795" s="107"/>
      <c r="H795" s="264"/>
      <c r="I795" s="223"/>
      <c r="J795" s="148"/>
      <c r="K795" s="107"/>
      <c r="L795" s="265"/>
      <c r="M795" s="182"/>
      <c r="N795" s="152"/>
      <c r="O795" s="152"/>
      <c r="P795" s="152"/>
      <c r="Q795" s="152"/>
      <c r="R795" s="152"/>
    </row>
    <row r="796">
      <c r="E796" s="151"/>
      <c r="F796" s="265"/>
      <c r="G796" s="107"/>
      <c r="H796" s="264"/>
      <c r="I796" s="223"/>
      <c r="J796" s="148"/>
      <c r="K796" s="107"/>
      <c r="L796" s="265"/>
      <c r="M796" s="182"/>
      <c r="N796" s="152"/>
      <c r="O796" s="152"/>
      <c r="P796" s="152"/>
      <c r="Q796" s="152"/>
      <c r="R796" s="152"/>
    </row>
    <row r="797">
      <c r="E797" s="151"/>
      <c r="F797" s="265"/>
      <c r="G797" s="107"/>
      <c r="H797" s="264"/>
      <c r="I797" s="223"/>
      <c r="J797" s="148"/>
      <c r="K797" s="107"/>
      <c r="L797" s="265"/>
      <c r="M797" s="182"/>
      <c r="N797" s="152"/>
      <c r="O797" s="152"/>
      <c r="P797" s="152"/>
      <c r="Q797" s="152"/>
      <c r="R797" s="152"/>
    </row>
    <row r="798">
      <c r="E798" s="151"/>
      <c r="F798" s="265"/>
      <c r="G798" s="107"/>
      <c r="H798" s="264"/>
      <c r="I798" s="223"/>
      <c r="J798" s="148"/>
      <c r="K798" s="107"/>
      <c r="L798" s="265"/>
      <c r="M798" s="182"/>
      <c r="N798" s="152"/>
      <c r="O798" s="152"/>
      <c r="P798" s="152"/>
      <c r="Q798" s="152"/>
      <c r="R798" s="152"/>
    </row>
    <row r="799">
      <c r="E799" s="151"/>
      <c r="F799" s="265"/>
      <c r="G799" s="107"/>
      <c r="H799" s="264"/>
      <c r="I799" s="223"/>
      <c r="J799" s="148"/>
      <c r="K799" s="107"/>
      <c r="L799" s="265"/>
      <c r="M799" s="182"/>
      <c r="N799" s="152"/>
      <c r="O799" s="152"/>
      <c r="P799" s="152"/>
      <c r="Q799" s="152"/>
      <c r="R799" s="152"/>
    </row>
    <row r="800">
      <c r="E800" s="151"/>
      <c r="F800" s="265"/>
      <c r="G800" s="107"/>
      <c r="H800" s="264"/>
      <c r="I800" s="223"/>
      <c r="J800" s="148"/>
      <c r="K800" s="107"/>
      <c r="L800" s="265"/>
      <c r="M800" s="182"/>
      <c r="N800" s="152"/>
      <c r="O800" s="152"/>
      <c r="P800" s="152"/>
      <c r="Q800" s="152"/>
      <c r="R800" s="152"/>
    </row>
    <row r="801">
      <c r="E801" s="151"/>
      <c r="F801" s="265"/>
      <c r="G801" s="107"/>
      <c r="H801" s="264"/>
      <c r="I801" s="223"/>
      <c r="J801" s="148"/>
      <c r="K801" s="107"/>
      <c r="L801" s="265"/>
      <c r="M801" s="182"/>
      <c r="N801" s="152"/>
      <c r="O801" s="152"/>
      <c r="P801" s="152"/>
      <c r="Q801" s="152"/>
      <c r="R801" s="152"/>
    </row>
    <row r="802">
      <c r="E802" s="151"/>
      <c r="F802" s="265"/>
      <c r="G802" s="107"/>
      <c r="H802" s="264"/>
      <c r="I802" s="223"/>
      <c r="J802" s="148"/>
      <c r="K802" s="107"/>
      <c r="L802" s="265"/>
      <c r="M802" s="182"/>
      <c r="N802" s="152"/>
      <c r="O802" s="152"/>
      <c r="P802" s="152"/>
      <c r="Q802" s="152"/>
      <c r="R802" s="152"/>
    </row>
    <row r="803">
      <c r="E803" s="151"/>
      <c r="F803" s="265"/>
      <c r="G803" s="107"/>
      <c r="H803" s="264"/>
      <c r="I803" s="223"/>
      <c r="J803" s="148"/>
      <c r="K803" s="107"/>
      <c r="L803" s="265"/>
      <c r="M803" s="182"/>
      <c r="N803" s="152"/>
      <c r="O803" s="152"/>
      <c r="P803" s="152"/>
      <c r="Q803" s="152"/>
      <c r="R803" s="152"/>
    </row>
    <row r="804">
      <c r="E804" s="151"/>
      <c r="F804" s="265"/>
      <c r="G804" s="107"/>
      <c r="H804" s="264"/>
      <c r="I804" s="223"/>
      <c r="J804" s="148"/>
      <c r="K804" s="107"/>
      <c r="L804" s="265"/>
      <c r="M804" s="182"/>
      <c r="N804" s="152"/>
      <c r="O804" s="152"/>
      <c r="P804" s="152"/>
      <c r="Q804" s="152"/>
      <c r="R804" s="152"/>
    </row>
    <row r="805">
      <c r="E805" s="151"/>
      <c r="F805" s="265"/>
      <c r="G805" s="107"/>
      <c r="H805" s="264"/>
      <c r="I805" s="223"/>
      <c r="J805" s="148"/>
      <c r="K805" s="107"/>
      <c r="L805" s="265"/>
      <c r="M805" s="182"/>
      <c r="N805" s="152"/>
      <c r="O805" s="152"/>
      <c r="P805" s="152"/>
      <c r="Q805" s="152"/>
      <c r="R805" s="152"/>
    </row>
    <row r="806">
      <c r="E806" s="151"/>
      <c r="F806" s="265"/>
      <c r="G806" s="107"/>
      <c r="H806" s="264"/>
      <c r="I806" s="223"/>
      <c r="J806" s="148"/>
      <c r="K806" s="107"/>
      <c r="L806" s="265"/>
      <c r="M806" s="182"/>
      <c r="N806" s="152"/>
      <c r="O806" s="152"/>
      <c r="P806" s="152"/>
      <c r="Q806" s="152"/>
      <c r="R806" s="152"/>
    </row>
    <row r="807">
      <c r="E807" s="151"/>
      <c r="F807" s="265"/>
      <c r="G807" s="107"/>
      <c r="H807" s="264"/>
      <c r="I807" s="223"/>
      <c r="J807" s="148"/>
      <c r="K807" s="107"/>
      <c r="L807" s="265"/>
      <c r="M807" s="182"/>
      <c r="N807" s="152"/>
      <c r="O807" s="152"/>
      <c r="P807" s="152"/>
      <c r="Q807" s="152"/>
      <c r="R807" s="152"/>
    </row>
    <row r="808">
      <c r="E808" s="151"/>
      <c r="F808" s="265"/>
      <c r="G808" s="107"/>
      <c r="H808" s="264"/>
      <c r="I808" s="223"/>
      <c r="J808" s="148"/>
      <c r="K808" s="107"/>
      <c r="L808" s="265"/>
      <c r="M808" s="182"/>
      <c r="N808" s="152"/>
      <c r="O808" s="152"/>
      <c r="P808" s="152"/>
      <c r="Q808" s="152"/>
      <c r="R808" s="152"/>
    </row>
    <row r="809">
      <c r="E809" s="151"/>
      <c r="F809" s="265"/>
      <c r="G809" s="107"/>
      <c r="H809" s="264"/>
      <c r="I809" s="223"/>
      <c r="J809" s="148"/>
      <c r="K809" s="107"/>
      <c r="L809" s="265"/>
      <c r="M809" s="182"/>
      <c r="N809" s="152"/>
      <c r="O809" s="152"/>
      <c r="P809" s="152"/>
      <c r="Q809" s="152"/>
      <c r="R809" s="152"/>
    </row>
    <row r="810">
      <c r="E810" s="151"/>
      <c r="F810" s="265"/>
      <c r="G810" s="107"/>
      <c r="H810" s="264"/>
      <c r="I810" s="223"/>
      <c r="J810" s="148"/>
      <c r="K810" s="107"/>
      <c r="L810" s="265"/>
      <c r="M810" s="182"/>
      <c r="N810" s="152"/>
      <c r="O810" s="152"/>
      <c r="P810" s="152"/>
      <c r="Q810" s="152"/>
      <c r="R810" s="152"/>
    </row>
    <row r="811">
      <c r="E811" s="151"/>
      <c r="F811" s="265"/>
      <c r="G811" s="107"/>
      <c r="H811" s="264"/>
      <c r="I811" s="223"/>
      <c r="J811" s="148"/>
      <c r="K811" s="107"/>
      <c r="L811" s="265"/>
      <c r="M811" s="182"/>
      <c r="N811" s="152"/>
      <c r="O811" s="152"/>
      <c r="P811" s="152"/>
      <c r="Q811" s="152"/>
      <c r="R811" s="152"/>
    </row>
    <row r="812">
      <c r="E812" s="151"/>
      <c r="F812" s="265"/>
      <c r="G812" s="107"/>
      <c r="H812" s="264"/>
      <c r="I812" s="223"/>
      <c r="J812" s="148"/>
      <c r="K812" s="107"/>
      <c r="L812" s="265"/>
      <c r="M812" s="182"/>
      <c r="N812" s="152"/>
      <c r="O812" s="152"/>
      <c r="P812" s="152"/>
      <c r="Q812" s="152"/>
      <c r="R812" s="152"/>
    </row>
    <row r="813">
      <c r="E813" s="151"/>
      <c r="F813" s="265"/>
      <c r="G813" s="107"/>
      <c r="H813" s="264"/>
      <c r="I813" s="223"/>
      <c r="J813" s="148"/>
      <c r="K813" s="107"/>
      <c r="L813" s="265"/>
      <c r="M813" s="182"/>
      <c r="N813" s="152"/>
      <c r="O813" s="152"/>
      <c r="P813" s="152"/>
      <c r="Q813" s="152"/>
      <c r="R813" s="152"/>
    </row>
    <row r="814">
      <c r="E814" s="151"/>
      <c r="F814" s="265"/>
      <c r="G814" s="107"/>
      <c r="H814" s="264"/>
      <c r="I814" s="223"/>
      <c r="J814" s="148"/>
      <c r="K814" s="107"/>
      <c r="L814" s="265"/>
      <c r="M814" s="182"/>
      <c r="N814" s="152"/>
      <c r="O814" s="152"/>
      <c r="P814" s="152"/>
      <c r="Q814" s="152"/>
      <c r="R814" s="152"/>
    </row>
    <row r="815">
      <c r="E815" s="151"/>
      <c r="F815" s="265"/>
      <c r="G815" s="107"/>
      <c r="H815" s="264"/>
      <c r="I815" s="223"/>
      <c r="J815" s="148"/>
      <c r="K815" s="107"/>
      <c r="L815" s="265"/>
      <c r="M815" s="182"/>
      <c r="N815" s="152"/>
      <c r="O815" s="152"/>
      <c r="P815" s="152"/>
      <c r="Q815" s="152"/>
      <c r="R815" s="152"/>
    </row>
    <row r="816">
      <c r="E816" s="151"/>
      <c r="F816" s="265"/>
      <c r="G816" s="107"/>
      <c r="H816" s="264"/>
      <c r="I816" s="223"/>
      <c r="J816" s="148"/>
      <c r="K816" s="107"/>
      <c r="L816" s="265"/>
      <c r="M816" s="182"/>
      <c r="N816" s="152"/>
      <c r="O816" s="152"/>
      <c r="P816" s="152"/>
      <c r="Q816" s="152"/>
      <c r="R816" s="152"/>
    </row>
    <row r="817">
      <c r="E817" s="151"/>
      <c r="F817" s="265"/>
      <c r="G817" s="107"/>
      <c r="H817" s="264"/>
      <c r="I817" s="223"/>
      <c r="J817" s="148"/>
      <c r="K817" s="107"/>
      <c r="L817" s="265"/>
      <c r="M817" s="182"/>
      <c r="N817" s="152"/>
      <c r="O817" s="152"/>
      <c r="P817" s="152"/>
      <c r="Q817" s="152"/>
      <c r="R817" s="152"/>
    </row>
    <row r="818">
      <c r="E818" s="151"/>
      <c r="F818" s="265"/>
      <c r="G818" s="107"/>
      <c r="H818" s="264"/>
      <c r="I818" s="223"/>
      <c r="J818" s="148"/>
      <c r="K818" s="107"/>
      <c r="L818" s="265"/>
      <c r="M818" s="182"/>
      <c r="N818" s="152"/>
      <c r="O818" s="152"/>
      <c r="P818" s="152"/>
      <c r="Q818" s="152"/>
      <c r="R818" s="152"/>
    </row>
    <row r="819">
      <c r="E819" s="151"/>
      <c r="F819" s="265"/>
      <c r="G819" s="107"/>
      <c r="H819" s="264"/>
      <c r="I819" s="223"/>
      <c r="J819" s="148"/>
      <c r="K819" s="107"/>
      <c r="L819" s="265"/>
      <c r="M819" s="182"/>
      <c r="N819" s="152"/>
      <c r="O819" s="152"/>
      <c r="P819" s="152"/>
      <c r="Q819" s="152"/>
      <c r="R819" s="152"/>
    </row>
    <row r="820">
      <c r="E820" s="151"/>
      <c r="F820" s="265"/>
      <c r="G820" s="107"/>
      <c r="H820" s="264"/>
      <c r="I820" s="223"/>
      <c r="J820" s="148"/>
      <c r="K820" s="107"/>
      <c r="L820" s="265"/>
      <c r="M820" s="182"/>
      <c r="N820" s="152"/>
      <c r="O820" s="152"/>
      <c r="P820" s="152"/>
      <c r="Q820" s="152"/>
      <c r="R820" s="152"/>
    </row>
    <row r="821">
      <c r="E821" s="151"/>
      <c r="F821" s="265"/>
      <c r="G821" s="107"/>
      <c r="H821" s="264"/>
      <c r="I821" s="223"/>
      <c r="J821" s="148"/>
      <c r="K821" s="107"/>
      <c r="L821" s="265"/>
      <c r="M821" s="182"/>
      <c r="N821" s="152"/>
      <c r="O821" s="152"/>
      <c r="P821" s="152"/>
      <c r="Q821" s="152"/>
      <c r="R821" s="152"/>
    </row>
    <row r="822">
      <c r="E822" s="151"/>
      <c r="F822" s="265"/>
      <c r="G822" s="107"/>
      <c r="H822" s="264"/>
      <c r="I822" s="223"/>
      <c r="J822" s="148"/>
      <c r="K822" s="107"/>
      <c r="L822" s="265"/>
      <c r="M822" s="182"/>
      <c r="N822" s="152"/>
      <c r="O822" s="152"/>
      <c r="P822" s="152"/>
      <c r="Q822" s="152"/>
      <c r="R822" s="152"/>
    </row>
    <row r="823">
      <c r="E823" s="151"/>
      <c r="F823" s="265"/>
      <c r="G823" s="107"/>
      <c r="H823" s="264"/>
      <c r="I823" s="223"/>
      <c r="J823" s="148"/>
      <c r="K823" s="107"/>
      <c r="L823" s="265"/>
      <c r="M823" s="182"/>
      <c r="N823" s="152"/>
      <c r="O823" s="152"/>
      <c r="P823" s="152"/>
      <c r="Q823" s="152"/>
      <c r="R823" s="152"/>
    </row>
    <row r="824">
      <c r="E824" s="151"/>
      <c r="F824" s="265"/>
      <c r="G824" s="107"/>
      <c r="H824" s="264"/>
      <c r="I824" s="223"/>
      <c r="J824" s="148"/>
      <c r="K824" s="107"/>
      <c r="L824" s="265"/>
      <c r="M824" s="182"/>
      <c r="N824" s="152"/>
      <c r="O824" s="152"/>
      <c r="P824" s="152"/>
      <c r="Q824" s="152"/>
      <c r="R824" s="152"/>
    </row>
    <row r="825">
      <c r="E825" s="151"/>
      <c r="F825" s="265"/>
      <c r="G825" s="107"/>
      <c r="H825" s="264"/>
      <c r="I825" s="223"/>
      <c r="J825" s="148"/>
      <c r="K825" s="107"/>
      <c r="L825" s="265"/>
      <c r="M825" s="182"/>
      <c r="N825" s="152"/>
      <c r="O825" s="152"/>
      <c r="P825" s="152"/>
      <c r="Q825" s="152"/>
      <c r="R825" s="152"/>
    </row>
    <row r="826">
      <c r="E826" s="151"/>
      <c r="F826" s="265"/>
      <c r="G826" s="107"/>
      <c r="H826" s="264"/>
      <c r="I826" s="223"/>
      <c r="J826" s="148"/>
      <c r="K826" s="107"/>
      <c r="L826" s="265"/>
      <c r="M826" s="182"/>
      <c r="N826" s="152"/>
      <c r="O826" s="152"/>
      <c r="P826" s="152"/>
      <c r="Q826" s="152"/>
      <c r="R826" s="152"/>
    </row>
    <row r="827">
      <c r="E827" s="151"/>
      <c r="F827" s="265"/>
      <c r="G827" s="107"/>
      <c r="H827" s="264"/>
      <c r="I827" s="223"/>
      <c r="J827" s="148"/>
      <c r="K827" s="107"/>
      <c r="L827" s="265"/>
      <c r="M827" s="182"/>
      <c r="N827" s="152"/>
      <c r="O827" s="152"/>
      <c r="P827" s="152"/>
      <c r="Q827" s="152"/>
      <c r="R827" s="152"/>
    </row>
    <row r="828">
      <c r="E828" s="151"/>
      <c r="F828" s="265"/>
      <c r="G828" s="107"/>
      <c r="H828" s="264"/>
      <c r="I828" s="223"/>
      <c r="J828" s="148"/>
      <c r="K828" s="107"/>
      <c r="L828" s="265"/>
      <c r="M828" s="182"/>
      <c r="N828" s="152"/>
      <c r="O828" s="152"/>
      <c r="P828" s="152"/>
      <c r="Q828" s="152"/>
      <c r="R828" s="152"/>
    </row>
    <row r="829">
      <c r="E829" s="151"/>
      <c r="F829" s="265"/>
      <c r="G829" s="107"/>
      <c r="H829" s="264"/>
      <c r="I829" s="223"/>
      <c r="J829" s="148"/>
      <c r="K829" s="107"/>
      <c r="L829" s="265"/>
      <c r="M829" s="182"/>
      <c r="N829" s="152"/>
      <c r="O829" s="152"/>
      <c r="P829" s="152"/>
      <c r="Q829" s="152"/>
      <c r="R829" s="152"/>
    </row>
    <row r="830">
      <c r="E830" s="151"/>
      <c r="F830" s="265"/>
      <c r="G830" s="107"/>
      <c r="H830" s="264"/>
      <c r="I830" s="223"/>
      <c r="J830" s="148"/>
      <c r="K830" s="107"/>
      <c r="L830" s="265"/>
      <c r="M830" s="182"/>
      <c r="N830" s="152"/>
      <c r="O830" s="152"/>
      <c r="P830" s="152"/>
      <c r="Q830" s="152"/>
      <c r="R830" s="152"/>
    </row>
    <row r="831">
      <c r="E831" s="151"/>
      <c r="F831" s="265"/>
      <c r="G831" s="107"/>
      <c r="H831" s="264"/>
      <c r="I831" s="223"/>
      <c r="J831" s="148"/>
      <c r="K831" s="107"/>
      <c r="L831" s="265"/>
      <c r="M831" s="182"/>
      <c r="N831" s="152"/>
      <c r="O831" s="152"/>
      <c r="P831" s="152"/>
      <c r="Q831" s="152"/>
      <c r="R831" s="152"/>
    </row>
    <row r="832">
      <c r="E832" s="151"/>
      <c r="F832" s="265"/>
      <c r="G832" s="107"/>
      <c r="H832" s="264"/>
      <c r="I832" s="223"/>
      <c r="J832" s="148"/>
      <c r="K832" s="107"/>
      <c r="L832" s="265"/>
      <c r="M832" s="182"/>
      <c r="N832" s="152"/>
      <c r="O832" s="152"/>
      <c r="P832" s="152"/>
      <c r="Q832" s="152"/>
      <c r="R832" s="152"/>
    </row>
    <row r="833">
      <c r="E833" s="151"/>
      <c r="F833" s="265"/>
      <c r="G833" s="107"/>
      <c r="H833" s="264"/>
      <c r="I833" s="223"/>
      <c r="J833" s="148"/>
      <c r="K833" s="107"/>
      <c r="L833" s="265"/>
      <c r="M833" s="182"/>
      <c r="N833" s="152"/>
      <c r="O833" s="152"/>
      <c r="P833" s="152"/>
      <c r="Q833" s="152"/>
      <c r="R833" s="152"/>
    </row>
    <row r="834">
      <c r="E834" s="151"/>
      <c r="F834" s="265"/>
      <c r="G834" s="107"/>
      <c r="H834" s="264"/>
      <c r="I834" s="223"/>
      <c r="J834" s="148"/>
      <c r="K834" s="107"/>
      <c r="L834" s="265"/>
      <c r="M834" s="182"/>
      <c r="N834" s="152"/>
      <c r="O834" s="152"/>
      <c r="P834" s="152"/>
      <c r="Q834" s="152"/>
      <c r="R834" s="152"/>
    </row>
    <row r="835">
      <c r="E835" s="151"/>
      <c r="F835" s="265"/>
      <c r="G835" s="107"/>
      <c r="H835" s="264"/>
      <c r="I835" s="223"/>
      <c r="J835" s="148"/>
      <c r="K835" s="107"/>
      <c r="L835" s="265"/>
      <c r="M835" s="182"/>
      <c r="N835" s="152"/>
      <c r="O835" s="152"/>
      <c r="P835" s="152"/>
      <c r="Q835" s="152"/>
      <c r="R835" s="152"/>
    </row>
    <row r="836">
      <c r="E836" s="151"/>
      <c r="F836" s="265"/>
      <c r="G836" s="107"/>
      <c r="H836" s="264"/>
      <c r="I836" s="223"/>
      <c r="J836" s="148"/>
      <c r="K836" s="107"/>
      <c r="L836" s="265"/>
      <c r="M836" s="182"/>
      <c r="N836" s="152"/>
      <c r="O836" s="152"/>
      <c r="P836" s="152"/>
      <c r="Q836" s="152"/>
      <c r="R836" s="152"/>
    </row>
    <row r="837">
      <c r="E837" s="151"/>
      <c r="F837" s="265"/>
      <c r="G837" s="107"/>
      <c r="H837" s="264"/>
      <c r="I837" s="223"/>
      <c r="J837" s="148"/>
      <c r="K837" s="107"/>
      <c r="L837" s="265"/>
      <c r="M837" s="182"/>
      <c r="N837" s="152"/>
      <c r="O837" s="152"/>
      <c r="P837" s="152"/>
      <c r="Q837" s="152"/>
      <c r="R837" s="152"/>
    </row>
    <row r="838">
      <c r="E838" s="151"/>
      <c r="F838" s="265"/>
      <c r="G838" s="107"/>
      <c r="H838" s="264"/>
      <c r="I838" s="223"/>
      <c r="J838" s="148"/>
      <c r="K838" s="107"/>
      <c r="L838" s="265"/>
      <c r="M838" s="182"/>
      <c r="N838" s="152"/>
      <c r="O838" s="152"/>
      <c r="P838" s="152"/>
      <c r="Q838" s="152"/>
      <c r="R838" s="152"/>
    </row>
    <row r="839">
      <c r="E839" s="151"/>
      <c r="F839" s="265"/>
      <c r="G839" s="107"/>
      <c r="H839" s="264"/>
      <c r="I839" s="223"/>
      <c r="J839" s="148"/>
      <c r="K839" s="107"/>
      <c r="L839" s="265"/>
      <c r="M839" s="182"/>
      <c r="N839" s="152"/>
      <c r="O839" s="152"/>
      <c r="P839" s="152"/>
      <c r="Q839" s="152"/>
      <c r="R839" s="152"/>
    </row>
    <row r="840">
      <c r="E840" s="151"/>
      <c r="F840" s="265"/>
      <c r="G840" s="107"/>
      <c r="H840" s="264"/>
      <c r="I840" s="223"/>
      <c r="J840" s="148"/>
      <c r="K840" s="107"/>
      <c r="L840" s="265"/>
      <c r="M840" s="182"/>
      <c r="N840" s="152"/>
      <c r="O840" s="152"/>
      <c r="P840" s="152"/>
      <c r="Q840" s="152"/>
      <c r="R840" s="152"/>
    </row>
    <row r="841">
      <c r="E841" s="151"/>
      <c r="F841" s="265"/>
      <c r="G841" s="107"/>
      <c r="H841" s="264"/>
      <c r="I841" s="223"/>
      <c r="J841" s="148"/>
      <c r="K841" s="107"/>
      <c r="L841" s="265"/>
      <c r="M841" s="182"/>
      <c r="N841" s="152"/>
      <c r="O841" s="152"/>
      <c r="P841" s="152"/>
      <c r="Q841" s="152"/>
      <c r="R841" s="152"/>
    </row>
    <row r="842">
      <c r="E842" s="151"/>
      <c r="F842" s="265"/>
      <c r="G842" s="107"/>
      <c r="H842" s="264"/>
      <c r="I842" s="223"/>
      <c r="J842" s="148"/>
      <c r="K842" s="107"/>
      <c r="L842" s="265"/>
      <c r="M842" s="182"/>
      <c r="N842" s="152"/>
      <c r="O842" s="152"/>
      <c r="P842" s="152"/>
      <c r="Q842" s="152"/>
      <c r="R842" s="152"/>
    </row>
    <row r="843">
      <c r="E843" s="151"/>
      <c r="F843" s="265"/>
      <c r="G843" s="107"/>
      <c r="H843" s="264"/>
      <c r="I843" s="223"/>
      <c r="J843" s="148"/>
      <c r="K843" s="107"/>
      <c r="L843" s="265"/>
      <c r="M843" s="182"/>
      <c r="N843" s="152"/>
      <c r="O843" s="152"/>
      <c r="P843" s="152"/>
      <c r="Q843" s="152"/>
      <c r="R843" s="152"/>
    </row>
    <row r="844">
      <c r="E844" s="151"/>
      <c r="F844" s="265"/>
      <c r="G844" s="107"/>
      <c r="H844" s="264"/>
      <c r="I844" s="223"/>
      <c r="J844" s="148"/>
      <c r="K844" s="107"/>
      <c r="L844" s="265"/>
      <c r="M844" s="182"/>
      <c r="N844" s="152"/>
      <c r="O844" s="152"/>
      <c r="P844" s="152"/>
      <c r="Q844" s="152"/>
      <c r="R844" s="152"/>
    </row>
    <row r="845">
      <c r="E845" s="151"/>
      <c r="F845" s="265"/>
      <c r="G845" s="107"/>
      <c r="H845" s="264"/>
      <c r="I845" s="223"/>
      <c r="J845" s="148"/>
      <c r="K845" s="107"/>
      <c r="L845" s="265"/>
      <c r="M845" s="182"/>
      <c r="N845" s="152"/>
      <c r="O845" s="152"/>
      <c r="P845" s="152"/>
      <c r="Q845" s="152"/>
      <c r="R845" s="152"/>
    </row>
    <row r="846">
      <c r="E846" s="151"/>
      <c r="F846" s="265"/>
      <c r="G846" s="107"/>
      <c r="H846" s="264"/>
      <c r="I846" s="223"/>
      <c r="J846" s="148"/>
      <c r="K846" s="107"/>
      <c r="L846" s="265"/>
      <c r="M846" s="182"/>
      <c r="N846" s="152"/>
      <c r="O846" s="152"/>
      <c r="P846" s="152"/>
      <c r="Q846" s="152"/>
      <c r="R846" s="152"/>
    </row>
    <row r="847">
      <c r="E847" s="151"/>
      <c r="F847" s="265"/>
      <c r="G847" s="107"/>
      <c r="H847" s="264"/>
      <c r="I847" s="223"/>
      <c r="J847" s="148"/>
      <c r="K847" s="107"/>
      <c r="L847" s="265"/>
      <c r="M847" s="182"/>
      <c r="N847" s="152"/>
      <c r="O847" s="152"/>
      <c r="P847" s="152"/>
      <c r="Q847" s="152"/>
      <c r="R847" s="152"/>
    </row>
    <row r="848">
      <c r="E848" s="151"/>
      <c r="F848" s="265"/>
      <c r="G848" s="107"/>
      <c r="H848" s="264"/>
      <c r="I848" s="223"/>
      <c r="J848" s="148"/>
      <c r="K848" s="107"/>
      <c r="L848" s="265"/>
      <c r="M848" s="182"/>
      <c r="N848" s="152"/>
      <c r="O848" s="152"/>
      <c r="P848" s="152"/>
      <c r="Q848" s="152"/>
      <c r="R848" s="152"/>
    </row>
    <row r="849">
      <c r="E849" s="151"/>
      <c r="F849" s="265"/>
      <c r="G849" s="107"/>
      <c r="H849" s="264"/>
      <c r="I849" s="223"/>
      <c r="J849" s="148"/>
      <c r="K849" s="107"/>
      <c r="L849" s="265"/>
      <c r="M849" s="182"/>
      <c r="N849" s="152"/>
      <c r="O849" s="152"/>
      <c r="P849" s="152"/>
      <c r="Q849" s="152"/>
      <c r="R849" s="152"/>
    </row>
    <row r="850">
      <c r="E850" s="151"/>
      <c r="F850" s="265"/>
      <c r="G850" s="107"/>
      <c r="H850" s="264"/>
      <c r="I850" s="223"/>
      <c r="J850" s="148"/>
      <c r="K850" s="107"/>
      <c r="L850" s="265"/>
      <c r="M850" s="182"/>
      <c r="N850" s="152"/>
      <c r="O850" s="152"/>
      <c r="P850" s="152"/>
      <c r="Q850" s="152"/>
      <c r="R850" s="152"/>
    </row>
    <row r="851">
      <c r="E851" s="151"/>
      <c r="F851" s="265"/>
      <c r="G851" s="107"/>
      <c r="H851" s="264"/>
      <c r="I851" s="223"/>
      <c r="J851" s="148"/>
      <c r="K851" s="107"/>
      <c r="L851" s="265"/>
      <c r="M851" s="182"/>
      <c r="N851" s="152"/>
      <c r="O851" s="152"/>
      <c r="P851" s="152"/>
      <c r="Q851" s="152"/>
      <c r="R851" s="152"/>
    </row>
    <row r="852">
      <c r="E852" s="151"/>
      <c r="F852" s="265"/>
      <c r="G852" s="107"/>
      <c r="H852" s="264"/>
      <c r="I852" s="223"/>
      <c r="J852" s="148"/>
      <c r="K852" s="107"/>
      <c r="L852" s="265"/>
      <c r="M852" s="182"/>
      <c r="N852" s="152"/>
      <c r="O852" s="152"/>
      <c r="P852" s="152"/>
      <c r="Q852" s="152"/>
      <c r="R852" s="152"/>
    </row>
    <row r="853">
      <c r="E853" s="151"/>
      <c r="F853" s="265"/>
      <c r="G853" s="107"/>
      <c r="H853" s="264"/>
      <c r="I853" s="223"/>
      <c r="J853" s="148"/>
      <c r="K853" s="107"/>
      <c r="L853" s="265"/>
      <c r="M853" s="182"/>
      <c r="N853" s="152"/>
      <c r="O853" s="152"/>
      <c r="P853" s="152"/>
      <c r="Q853" s="152"/>
      <c r="R853" s="152"/>
    </row>
    <row r="854">
      <c r="E854" s="151"/>
      <c r="F854" s="265"/>
      <c r="G854" s="107"/>
      <c r="H854" s="264"/>
      <c r="I854" s="223"/>
      <c r="J854" s="148"/>
      <c r="K854" s="107"/>
      <c r="L854" s="265"/>
      <c r="M854" s="182"/>
      <c r="N854" s="152"/>
      <c r="O854" s="152"/>
      <c r="P854" s="152"/>
      <c r="Q854" s="152"/>
      <c r="R854" s="152"/>
    </row>
    <row r="855">
      <c r="E855" s="151"/>
      <c r="F855" s="265"/>
      <c r="G855" s="107"/>
      <c r="H855" s="264"/>
      <c r="I855" s="223"/>
      <c r="J855" s="148"/>
      <c r="K855" s="107"/>
      <c r="L855" s="265"/>
      <c r="M855" s="182"/>
      <c r="N855" s="152"/>
      <c r="O855" s="152"/>
      <c r="P855" s="152"/>
      <c r="Q855" s="152"/>
      <c r="R855" s="152"/>
    </row>
    <row r="856">
      <c r="E856" s="151"/>
      <c r="F856" s="265"/>
      <c r="G856" s="107"/>
      <c r="H856" s="264"/>
      <c r="I856" s="223"/>
      <c r="J856" s="148"/>
      <c r="K856" s="107"/>
      <c r="L856" s="265"/>
      <c r="M856" s="182"/>
      <c r="N856" s="152"/>
      <c r="O856" s="152"/>
      <c r="P856" s="152"/>
      <c r="Q856" s="152"/>
      <c r="R856" s="152"/>
    </row>
    <row r="857">
      <c r="E857" s="151"/>
      <c r="F857" s="265"/>
      <c r="G857" s="107"/>
      <c r="H857" s="264"/>
      <c r="I857" s="223"/>
      <c r="J857" s="148"/>
      <c r="K857" s="107"/>
      <c r="L857" s="265"/>
      <c r="M857" s="182"/>
      <c r="N857" s="152"/>
      <c r="O857" s="152"/>
      <c r="P857" s="152"/>
      <c r="Q857" s="152"/>
      <c r="R857" s="152"/>
    </row>
    <row r="858">
      <c r="E858" s="151"/>
      <c r="F858" s="265"/>
      <c r="G858" s="107"/>
      <c r="H858" s="264"/>
      <c r="I858" s="223"/>
      <c r="J858" s="148"/>
      <c r="K858" s="107"/>
      <c r="L858" s="265"/>
      <c r="M858" s="182"/>
      <c r="N858" s="152"/>
      <c r="O858" s="152"/>
      <c r="P858" s="152"/>
      <c r="Q858" s="152"/>
      <c r="R858" s="152"/>
    </row>
    <row r="859">
      <c r="E859" s="151"/>
      <c r="F859" s="265"/>
      <c r="G859" s="107"/>
      <c r="H859" s="264"/>
      <c r="I859" s="223"/>
      <c r="J859" s="148"/>
      <c r="K859" s="107"/>
      <c r="L859" s="265"/>
      <c r="M859" s="182"/>
      <c r="N859" s="152"/>
      <c r="O859" s="152"/>
      <c r="P859" s="152"/>
      <c r="Q859" s="152"/>
      <c r="R859" s="152"/>
    </row>
    <row r="860">
      <c r="E860" s="151"/>
      <c r="F860" s="265"/>
      <c r="G860" s="107"/>
      <c r="H860" s="264"/>
      <c r="I860" s="223"/>
      <c r="J860" s="148"/>
      <c r="K860" s="107"/>
      <c r="L860" s="265"/>
      <c r="M860" s="182"/>
      <c r="N860" s="152"/>
      <c r="O860" s="152"/>
      <c r="P860" s="152"/>
      <c r="Q860" s="152"/>
      <c r="R860" s="152"/>
    </row>
    <row r="861">
      <c r="E861" s="151"/>
      <c r="F861" s="265"/>
      <c r="G861" s="107"/>
      <c r="H861" s="264"/>
      <c r="I861" s="223"/>
      <c r="J861" s="148"/>
      <c r="K861" s="107"/>
      <c r="L861" s="265"/>
      <c r="M861" s="182"/>
      <c r="N861" s="152"/>
      <c r="O861" s="152"/>
      <c r="P861" s="152"/>
      <c r="Q861" s="152"/>
      <c r="R861" s="152"/>
    </row>
    <row r="862">
      <c r="E862" s="151"/>
      <c r="F862" s="265"/>
      <c r="G862" s="107"/>
      <c r="H862" s="264"/>
      <c r="I862" s="223"/>
      <c r="J862" s="148"/>
      <c r="K862" s="107"/>
      <c r="L862" s="265"/>
      <c r="M862" s="182"/>
      <c r="N862" s="152"/>
      <c r="O862" s="152"/>
      <c r="P862" s="152"/>
      <c r="Q862" s="152"/>
      <c r="R862" s="152"/>
    </row>
    <row r="863">
      <c r="E863" s="151"/>
      <c r="F863" s="265"/>
      <c r="G863" s="107"/>
      <c r="H863" s="264"/>
      <c r="I863" s="223"/>
      <c r="J863" s="148"/>
      <c r="K863" s="107"/>
      <c r="L863" s="265"/>
      <c r="M863" s="182"/>
      <c r="N863" s="152"/>
      <c r="O863" s="152"/>
      <c r="P863" s="152"/>
      <c r="Q863" s="152"/>
      <c r="R863" s="152"/>
    </row>
    <row r="864">
      <c r="E864" s="151"/>
      <c r="F864" s="265"/>
      <c r="G864" s="107"/>
      <c r="H864" s="264"/>
      <c r="I864" s="223"/>
      <c r="J864" s="148"/>
      <c r="K864" s="107"/>
      <c r="L864" s="265"/>
      <c r="M864" s="182"/>
      <c r="N864" s="152"/>
      <c r="O864" s="152"/>
      <c r="P864" s="152"/>
      <c r="Q864" s="152"/>
      <c r="R864" s="152"/>
    </row>
    <row r="865">
      <c r="E865" s="151"/>
      <c r="F865" s="265"/>
      <c r="G865" s="107"/>
      <c r="H865" s="264"/>
      <c r="I865" s="223"/>
      <c r="J865" s="148"/>
      <c r="K865" s="107"/>
      <c r="L865" s="265"/>
      <c r="M865" s="182"/>
      <c r="N865" s="152"/>
      <c r="O865" s="152"/>
      <c r="P865" s="152"/>
      <c r="Q865" s="152"/>
      <c r="R865" s="152"/>
    </row>
    <row r="866">
      <c r="E866" s="151"/>
      <c r="F866" s="265"/>
      <c r="G866" s="107"/>
      <c r="H866" s="264"/>
      <c r="I866" s="223"/>
      <c r="J866" s="148"/>
      <c r="K866" s="107"/>
      <c r="L866" s="265"/>
      <c r="M866" s="182"/>
      <c r="N866" s="152"/>
      <c r="O866" s="152"/>
      <c r="P866" s="152"/>
      <c r="Q866" s="152"/>
      <c r="R866" s="152"/>
    </row>
    <row r="867">
      <c r="E867" s="151"/>
      <c r="F867" s="265"/>
      <c r="G867" s="107"/>
      <c r="H867" s="264"/>
      <c r="I867" s="223"/>
      <c r="J867" s="148"/>
      <c r="K867" s="107"/>
      <c r="L867" s="265"/>
      <c r="M867" s="182"/>
      <c r="N867" s="152"/>
      <c r="O867" s="152"/>
      <c r="P867" s="152"/>
      <c r="Q867" s="152"/>
      <c r="R867" s="152"/>
    </row>
    <row r="868">
      <c r="E868" s="151"/>
      <c r="F868" s="265"/>
      <c r="G868" s="107"/>
      <c r="H868" s="264"/>
      <c r="I868" s="223"/>
      <c r="J868" s="148"/>
      <c r="K868" s="107"/>
      <c r="L868" s="265"/>
      <c r="M868" s="182"/>
      <c r="N868" s="152"/>
      <c r="O868" s="152"/>
      <c r="P868" s="152"/>
      <c r="Q868" s="152"/>
      <c r="R868" s="152"/>
    </row>
    <row r="869">
      <c r="E869" s="151"/>
      <c r="F869" s="265"/>
      <c r="G869" s="107"/>
      <c r="H869" s="264"/>
      <c r="I869" s="223"/>
      <c r="J869" s="148"/>
      <c r="K869" s="107"/>
      <c r="L869" s="265"/>
      <c r="M869" s="182"/>
      <c r="N869" s="152"/>
      <c r="O869" s="152"/>
      <c r="P869" s="152"/>
      <c r="Q869" s="152"/>
      <c r="R869" s="152"/>
    </row>
    <row r="870">
      <c r="E870" s="151"/>
      <c r="F870" s="265"/>
      <c r="G870" s="107"/>
      <c r="H870" s="264"/>
      <c r="I870" s="223"/>
      <c r="J870" s="148"/>
      <c r="K870" s="107"/>
      <c r="L870" s="265"/>
      <c r="M870" s="182"/>
      <c r="N870" s="152"/>
      <c r="O870" s="152"/>
      <c r="P870" s="152"/>
      <c r="Q870" s="152"/>
      <c r="R870" s="152"/>
    </row>
    <row r="871">
      <c r="E871" s="151"/>
      <c r="F871" s="265"/>
      <c r="G871" s="107"/>
      <c r="H871" s="264"/>
      <c r="I871" s="223"/>
      <c r="J871" s="148"/>
      <c r="K871" s="107"/>
      <c r="L871" s="265"/>
      <c r="M871" s="182"/>
      <c r="N871" s="152"/>
      <c r="O871" s="152"/>
      <c r="P871" s="152"/>
      <c r="Q871" s="152"/>
      <c r="R871" s="152"/>
    </row>
    <row r="872">
      <c r="E872" s="151"/>
      <c r="F872" s="265"/>
      <c r="G872" s="107"/>
      <c r="H872" s="264"/>
      <c r="I872" s="223"/>
      <c r="J872" s="148"/>
      <c r="K872" s="107"/>
      <c r="L872" s="265"/>
      <c r="M872" s="182"/>
      <c r="N872" s="152"/>
      <c r="O872" s="152"/>
      <c r="P872" s="152"/>
      <c r="Q872" s="152"/>
      <c r="R872" s="152"/>
    </row>
    <row r="873">
      <c r="E873" s="151"/>
      <c r="F873" s="265"/>
      <c r="G873" s="107"/>
      <c r="H873" s="264"/>
      <c r="I873" s="223"/>
      <c r="J873" s="148"/>
      <c r="K873" s="107"/>
      <c r="L873" s="265"/>
      <c r="M873" s="182"/>
      <c r="N873" s="152"/>
      <c r="O873" s="152"/>
      <c r="P873" s="152"/>
      <c r="Q873" s="152"/>
      <c r="R873" s="152"/>
    </row>
    <row r="874">
      <c r="E874" s="151"/>
      <c r="F874" s="265"/>
      <c r="G874" s="107"/>
      <c r="H874" s="264"/>
      <c r="I874" s="223"/>
      <c r="J874" s="148"/>
      <c r="K874" s="107"/>
      <c r="L874" s="265"/>
      <c r="M874" s="182"/>
      <c r="N874" s="152"/>
      <c r="O874" s="152"/>
      <c r="P874" s="152"/>
      <c r="Q874" s="152"/>
      <c r="R874" s="152"/>
    </row>
    <row r="875">
      <c r="E875" s="151"/>
      <c r="F875" s="265"/>
      <c r="G875" s="107"/>
      <c r="H875" s="264"/>
      <c r="I875" s="223"/>
      <c r="J875" s="148"/>
      <c r="K875" s="107"/>
      <c r="L875" s="265"/>
      <c r="M875" s="182"/>
      <c r="N875" s="152"/>
      <c r="O875" s="152"/>
      <c r="P875" s="152"/>
      <c r="Q875" s="152"/>
      <c r="R875" s="152"/>
    </row>
    <row r="876">
      <c r="E876" s="151"/>
      <c r="F876" s="265"/>
      <c r="G876" s="107"/>
      <c r="H876" s="264"/>
      <c r="I876" s="223"/>
      <c r="J876" s="148"/>
      <c r="K876" s="107"/>
      <c r="L876" s="265"/>
      <c r="M876" s="182"/>
      <c r="N876" s="152"/>
      <c r="O876" s="152"/>
      <c r="P876" s="152"/>
      <c r="Q876" s="152"/>
      <c r="R876" s="152"/>
    </row>
    <row r="877">
      <c r="E877" s="151"/>
      <c r="F877" s="265"/>
      <c r="G877" s="107"/>
      <c r="H877" s="264"/>
      <c r="I877" s="223"/>
      <c r="J877" s="148"/>
      <c r="K877" s="107"/>
      <c r="L877" s="265"/>
      <c r="M877" s="182"/>
      <c r="N877" s="152"/>
      <c r="O877" s="152"/>
      <c r="P877" s="152"/>
      <c r="Q877" s="152"/>
      <c r="R877" s="152"/>
    </row>
    <row r="878">
      <c r="E878" s="151"/>
      <c r="F878" s="265"/>
      <c r="G878" s="107"/>
      <c r="H878" s="264"/>
      <c r="I878" s="223"/>
      <c r="J878" s="148"/>
      <c r="K878" s="107"/>
      <c r="L878" s="265"/>
      <c r="M878" s="182"/>
      <c r="N878" s="152"/>
      <c r="O878" s="152"/>
      <c r="P878" s="152"/>
      <c r="Q878" s="152"/>
      <c r="R878" s="152"/>
    </row>
    <row r="879">
      <c r="E879" s="151"/>
      <c r="F879" s="265"/>
      <c r="G879" s="107"/>
      <c r="H879" s="264"/>
      <c r="I879" s="223"/>
      <c r="J879" s="148"/>
      <c r="K879" s="107"/>
      <c r="L879" s="265"/>
      <c r="M879" s="182"/>
      <c r="N879" s="152"/>
      <c r="O879" s="152"/>
      <c r="P879" s="152"/>
      <c r="Q879" s="152"/>
      <c r="R879" s="152"/>
    </row>
    <row r="880">
      <c r="E880" s="151"/>
      <c r="F880" s="265"/>
      <c r="G880" s="107"/>
      <c r="H880" s="264"/>
      <c r="I880" s="223"/>
      <c r="J880" s="148"/>
      <c r="K880" s="107"/>
      <c r="L880" s="265"/>
      <c r="M880" s="182"/>
      <c r="N880" s="152"/>
      <c r="O880" s="152"/>
      <c r="P880" s="152"/>
      <c r="Q880" s="152"/>
      <c r="R880" s="152"/>
    </row>
    <row r="881">
      <c r="E881" s="151"/>
      <c r="F881" s="265"/>
      <c r="G881" s="107"/>
      <c r="H881" s="264"/>
      <c r="I881" s="223"/>
      <c r="J881" s="148"/>
      <c r="K881" s="107"/>
      <c r="L881" s="265"/>
      <c r="M881" s="182"/>
      <c r="N881" s="152"/>
      <c r="O881" s="152"/>
      <c r="P881" s="152"/>
      <c r="Q881" s="152"/>
      <c r="R881" s="152"/>
    </row>
    <row r="882">
      <c r="E882" s="151"/>
      <c r="F882" s="265"/>
      <c r="G882" s="107"/>
      <c r="H882" s="264"/>
      <c r="I882" s="223"/>
      <c r="J882" s="148"/>
      <c r="K882" s="107"/>
      <c r="L882" s="265"/>
      <c r="M882" s="182"/>
      <c r="N882" s="152"/>
      <c r="O882" s="152"/>
      <c r="P882" s="152"/>
      <c r="Q882" s="152"/>
      <c r="R882" s="152"/>
    </row>
    <row r="883">
      <c r="E883" s="151"/>
      <c r="F883" s="265"/>
      <c r="G883" s="107"/>
      <c r="H883" s="264"/>
      <c r="I883" s="223"/>
      <c r="J883" s="148"/>
      <c r="K883" s="107"/>
      <c r="L883" s="265"/>
      <c r="M883" s="182"/>
      <c r="N883" s="152"/>
      <c r="O883" s="152"/>
      <c r="P883" s="152"/>
      <c r="Q883" s="152"/>
      <c r="R883" s="152"/>
    </row>
    <row r="884">
      <c r="E884" s="151"/>
      <c r="F884" s="265"/>
      <c r="G884" s="107"/>
      <c r="H884" s="264"/>
      <c r="I884" s="223"/>
      <c r="J884" s="148"/>
      <c r="K884" s="107"/>
      <c r="L884" s="265"/>
      <c r="M884" s="182"/>
      <c r="N884" s="152"/>
      <c r="O884" s="152"/>
      <c r="P884" s="152"/>
      <c r="Q884" s="152"/>
      <c r="R884" s="152"/>
    </row>
    <row r="885">
      <c r="E885" s="151"/>
      <c r="F885" s="265"/>
      <c r="G885" s="107"/>
      <c r="H885" s="264"/>
      <c r="I885" s="223"/>
      <c r="J885" s="148"/>
      <c r="K885" s="107"/>
      <c r="L885" s="265"/>
      <c r="M885" s="182"/>
      <c r="N885" s="152"/>
      <c r="O885" s="152"/>
      <c r="P885" s="152"/>
      <c r="Q885" s="152"/>
      <c r="R885" s="152"/>
    </row>
    <row r="886">
      <c r="E886" s="151"/>
      <c r="F886" s="265"/>
      <c r="G886" s="107"/>
      <c r="H886" s="264"/>
      <c r="I886" s="223"/>
      <c r="J886" s="148"/>
      <c r="K886" s="107"/>
      <c r="L886" s="265"/>
      <c r="M886" s="182"/>
      <c r="N886" s="152"/>
      <c r="O886" s="152"/>
      <c r="P886" s="152"/>
      <c r="Q886" s="152"/>
      <c r="R886" s="152"/>
    </row>
    <row r="887">
      <c r="E887" s="151"/>
      <c r="F887" s="265"/>
      <c r="G887" s="107"/>
      <c r="H887" s="264"/>
      <c r="I887" s="223"/>
      <c r="J887" s="148"/>
      <c r="K887" s="107"/>
      <c r="L887" s="265"/>
      <c r="M887" s="182"/>
      <c r="N887" s="152"/>
      <c r="O887" s="152"/>
      <c r="P887" s="152"/>
      <c r="Q887" s="152"/>
      <c r="R887" s="152"/>
    </row>
    <row r="888">
      <c r="E888" s="151"/>
      <c r="F888" s="265"/>
      <c r="G888" s="107"/>
      <c r="H888" s="264"/>
      <c r="I888" s="223"/>
      <c r="J888" s="148"/>
      <c r="K888" s="107"/>
      <c r="L888" s="265"/>
      <c r="M888" s="182"/>
      <c r="N888" s="152"/>
      <c r="O888" s="152"/>
      <c r="P888" s="152"/>
      <c r="Q888" s="152"/>
      <c r="R888" s="152"/>
    </row>
    <row r="889">
      <c r="E889" s="151"/>
      <c r="F889" s="265"/>
      <c r="G889" s="107"/>
      <c r="H889" s="264"/>
      <c r="I889" s="223"/>
      <c r="J889" s="148"/>
      <c r="K889" s="107"/>
      <c r="L889" s="265"/>
      <c r="M889" s="182"/>
      <c r="N889" s="152"/>
      <c r="O889" s="152"/>
      <c r="P889" s="152"/>
      <c r="Q889" s="152"/>
      <c r="R889" s="152"/>
    </row>
    <row r="890">
      <c r="E890" s="151"/>
      <c r="F890" s="265"/>
      <c r="G890" s="107"/>
      <c r="H890" s="264"/>
      <c r="I890" s="223"/>
      <c r="J890" s="148"/>
      <c r="K890" s="107"/>
      <c r="L890" s="265"/>
      <c r="M890" s="182"/>
      <c r="N890" s="152"/>
      <c r="O890" s="152"/>
      <c r="P890" s="152"/>
      <c r="Q890" s="152"/>
      <c r="R890" s="152"/>
    </row>
    <row r="891">
      <c r="E891" s="151"/>
      <c r="F891" s="265"/>
      <c r="G891" s="107"/>
      <c r="H891" s="264"/>
      <c r="I891" s="223"/>
      <c r="J891" s="148"/>
      <c r="K891" s="107"/>
      <c r="L891" s="265"/>
      <c r="M891" s="182"/>
      <c r="N891" s="152"/>
      <c r="O891" s="152"/>
      <c r="P891" s="152"/>
      <c r="Q891" s="152"/>
      <c r="R891" s="152"/>
    </row>
    <row r="892">
      <c r="E892" s="151"/>
      <c r="F892" s="265"/>
      <c r="G892" s="107"/>
      <c r="H892" s="264"/>
      <c r="I892" s="223"/>
      <c r="J892" s="148"/>
      <c r="K892" s="107"/>
      <c r="L892" s="265"/>
      <c r="M892" s="182"/>
      <c r="N892" s="152"/>
      <c r="O892" s="152"/>
      <c r="P892" s="152"/>
      <c r="Q892" s="152"/>
      <c r="R892" s="152"/>
    </row>
    <row r="893">
      <c r="E893" s="151"/>
      <c r="F893" s="265"/>
      <c r="G893" s="107"/>
      <c r="H893" s="264"/>
      <c r="I893" s="223"/>
      <c r="J893" s="148"/>
      <c r="K893" s="107"/>
      <c r="L893" s="265"/>
      <c r="M893" s="182"/>
      <c r="N893" s="152"/>
      <c r="O893" s="152"/>
      <c r="P893" s="152"/>
      <c r="Q893" s="152"/>
      <c r="R893" s="152"/>
    </row>
    <row r="894">
      <c r="E894" s="151"/>
      <c r="F894" s="265"/>
      <c r="G894" s="107"/>
      <c r="H894" s="264"/>
      <c r="I894" s="223"/>
      <c r="J894" s="148"/>
      <c r="K894" s="107"/>
      <c r="L894" s="265"/>
      <c r="M894" s="182"/>
      <c r="N894" s="152"/>
      <c r="O894" s="152"/>
      <c r="P894" s="152"/>
      <c r="Q894" s="152"/>
      <c r="R894" s="152"/>
    </row>
    <row r="895">
      <c r="E895" s="151"/>
      <c r="F895" s="265"/>
      <c r="G895" s="107"/>
      <c r="H895" s="264"/>
      <c r="I895" s="223"/>
      <c r="J895" s="148"/>
      <c r="K895" s="107"/>
      <c r="L895" s="265"/>
      <c r="M895" s="182"/>
      <c r="N895" s="152"/>
      <c r="O895" s="152"/>
      <c r="P895" s="152"/>
      <c r="Q895" s="152"/>
      <c r="R895" s="152"/>
    </row>
    <row r="896">
      <c r="E896" s="151"/>
      <c r="F896" s="265"/>
      <c r="G896" s="107"/>
      <c r="H896" s="264"/>
      <c r="I896" s="223"/>
      <c r="J896" s="148"/>
      <c r="K896" s="107"/>
      <c r="L896" s="265"/>
      <c r="M896" s="182"/>
      <c r="N896" s="152"/>
      <c r="O896" s="152"/>
      <c r="P896" s="152"/>
      <c r="Q896" s="152"/>
      <c r="R896" s="152"/>
    </row>
    <row r="897">
      <c r="E897" s="151"/>
      <c r="F897" s="265"/>
      <c r="G897" s="107"/>
      <c r="H897" s="264"/>
      <c r="I897" s="223"/>
      <c r="J897" s="148"/>
      <c r="K897" s="107"/>
      <c r="L897" s="265"/>
      <c r="M897" s="182"/>
      <c r="N897" s="152"/>
      <c r="O897" s="152"/>
      <c r="P897" s="152"/>
      <c r="Q897" s="152"/>
      <c r="R897" s="152"/>
    </row>
    <row r="898">
      <c r="E898" s="151"/>
      <c r="F898" s="265"/>
      <c r="G898" s="107"/>
      <c r="H898" s="264"/>
      <c r="I898" s="223"/>
      <c r="J898" s="148"/>
      <c r="K898" s="107"/>
      <c r="L898" s="265"/>
      <c r="M898" s="182"/>
      <c r="N898" s="152"/>
      <c r="O898" s="152"/>
      <c r="P898" s="152"/>
      <c r="Q898" s="152"/>
      <c r="R898" s="152"/>
    </row>
    <row r="899">
      <c r="E899" s="151"/>
      <c r="F899" s="265"/>
      <c r="G899" s="107"/>
      <c r="H899" s="264"/>
      <c r="I899" s="223"/>
      <c r="J899" s="148"/>
      <c r="K899" s="107"/>
      <c r="L899" s="265"/>
      <c r="M899" s="182"/>
      <c r="N899" s="152"/>
      <c r="O899" s="152"/>
      <c r="P899" s="152"/>
      <c r="Q899" s="152"/>
      <c r="R899" s="152"/>
    </row>
    <row r="900">
      <c r="E900" s="151"/>
      <c r="F900" s="265"/>
      <c r="G900" s="107"/>
      <c r="H900" s="264"/>
      <c r="I900" s="223"/>
      <c r="J900" s="148"/>
      <c r="K900" s="107"/>
      <c r="L900" s="265"/>
      <c r="M900" s="182"/>
      <c r="N900" s="152"/>
      <c r="O900" s="152"/>
      <c r="P900" s="152"/>
      <c r="Q900" s="152"/>
      <c r="R900" s="152"/>
    </row>
    <row r="901">
      <c r="E901" s="151"/>
      <c r="F901" s="265"/>
      <c r="G901" s="107"/>
      <c r="H901" s="264"/>
      <c r="I901" s="223"/>
      <c r="J901" s="148"/>
      <c r="K901" s="107"/>
      <c r="L901" s="265"/>
      <c r="M901" s="182"/>
      <c r="N901" s="152"/>
      <c r="O901" s="152"/>
      <c r="P901" s="152"/>
      <c r="Q901" s="152"/>
      <c r="R901" s="152"/>
    </row>
    <row r="902">
      <c r="E902" s="151"/>
      <c r="F902" s="265"/>
      <c r="G902" s="107"/>
      <c r="H902" s="264"/>
      <c r="I902" s="223"/>
      <c r="J902" s="148"/>
      <c r="K902" s="107"/>
      <c r="L902" s="265"/>
      <c r="M902" s="182"/>
      <c r="N902" s="152"/>
      <c r="O902" s="152"/>
      <c r="P902" s="152"/>
      <c r="Q902" s="152"/>
      <c r="R902" s="152"/>
    </row>
    <row r="903">
      <c r="E903" s="151"/>
      <c r="F903" s="265"/>
      <c r="G903" s="107"/>
      <c r="H903" s="264"/>
      <c r="I903" s="223"/>
      <c r="J903" s="148"/>
      <c r="K903" s="107"/>
      <c r="L903" s="265"/>
      <c r="M903" s="182"/>
      <c r="N903" s="152"/>
      <c r="O903" s="152"/>
      <c r="P903" s="152"/>
      <c r="Q903" s="152"/>
      <c r="R903" s="152"/>
    </row>
    <row r="904">
      <c r="E904" s="151"/>
      <c r="F904" s="265"/>
      <c r="G904" s="107"/>
      <c r="H904" s="264"/>
      <c r="I904" s="223"/>
      <c r="J904" s="148"/>
      <c r="K904" s="107"/>
      <c r="L904" s="265"/>
      <c r="M904" s="182"/>
      <c r="N904" s="152"/>
      <c r="O904" s="152"/>
      <c r="P904" s="152"/>
      <c r="Q904" s="152"/>
      <c r="R904" s="152"/>
    </row>
    <row r="905">
      <c r="E905" s="151"/>
      <c r="F905" s="265"/>
      <c r="G905" s="107"/>
      <c r="H905" s="264"/>
      <c r="I905" s="223"/>
      <c r="J905" s="148"/>
      <c r="K905" s="107"/>
      <c r="L905" s="265"/>
      <c r="M905" s="182"/>
      <c r="N905" s="152"/>
      <c r="O905" s="152"/>
      <c r="P905" s="152"/>
      <c r="Q905" s="152"/>
      <c r="R905" s="152"/>
    </row>
    <row r="906">
      <c r="E906" s="151"/>
      <c r="F906" s="265"/>
      <c r="G906" s="107"/>
      <c r="H906" s="264"/>
      <c r="I906" s="223"/>
      <c r="J906" s="148"/>
      <c r="K906" s="107"/>
      <c r="L906" s="265"/>
      <c r="M906" s="182"/>
      <c r="N906" s="152"/>
      <c r="O906" s="152"/>
      <c r="P906" s="152"/>
      <c r="Q906" s="152"/>
      <c r="R906" s="152"/>
    </row>
    <row r="907">
      <c r="E907" s="151"/>
      <c r="F907" s="265"/>
      <c r="G907" s="107"/>
      <c r="H907" s="264"/>
      <c r="I907" s="223"/>
      <c r="J907" s="148"/>
      <c r="K907" s="107"/>
      <c r="L907" s="265"/>
      <c r="M907" s="182"/>
      <c r="N907" s="152"/>
      <c r="O907" s="152"/>
      <c r="P907" s="152"/>
      <c r="Q907" s="152"/>
      <c r="R907" s="152"/>
    </row>
    <row r="908">
      <c r="E908" s="151"/>
      <c r="F908" s="265"/>
      <c r="G908" s="107"/>
      <c r="H908" s="264"/>
      <c r="I908" s="223"/>
      <c r="J908" s="148"/>
      <c r="K908" s="107"/>
      <c r="L908" s="265"/>
      <c r="M908" s="182"/>
      <c r="N908" s="152"/>
      <c r="O908" s="152"/>
      <c r="P908" s="152"/>
      <c r="Q908" s="152"/>
      <c r="R908" s="152"/>
    </row>
    <row r="909">
      <c r="E909" s="151"/>
      <c r="F909" s="265"/>
      <c r="G909" s="107"/>
      <c r="H909" s="264"/>
      <c r="I909" s="223"/>
      <c r="J909" s="148"/>
      <c r="K909" s="107"/>
      <c r="L909" s="265"/>
      <c r="M909" s="182"/>
      <c r="N909" s="152"/>
      <c r="O909" s="152"/>
      <c r="P909" s="152"/>
      <c r="Q909" s="152"/>
      <c r="R909" s="152"/>
    </row>
    <row r="910">
      <c r="E910" s="151"/>
      <c r="F910" s="265"/>
      <c r="G910" s="107"/>
      <c r="H910" s="264"/>
      <c r="I910" s="223"/>
      <c r="J910" s="148"/>
      <c r="K910" s="107"/>
      <c r="L910" s="265"/>
      <c r="M910" s="182"/>
      <c r="N910" s="152"/>
      <c r="O910" s="152"/>
      <c r="P910" s="152"/>
      <c r="Q910" s="152"/>
      <c r="R910" s="152"/>
    </row>
    <row r="911">
      <c r="E911" s="151"/>
      <c r="F911" s="265"/>
      <c r="G911" s="107"/>
      <c r="H911" s="264"/>
      <c r="I911" s="223"/>
      <c r="J911" s="148"/>
      <c r="K911" s="107"/>
      <c r="L911" s="265"/>
      <c r="M911" s="182"/>
      <c r="N911" s="152"/>
      <c r="O911" s="152"/>
      <c r="P911" s="152"/>
      <c r="Q911" s="152"/>
      <c r="R911" s="152"/>
    </row>
    <row r="912">
      <c r="E912" s="151"/>
      <c r="F912" s="265"/>
      <c r="G912" s="107"/>
      <c r="H912" s="264"/>
      <c r="I912" s="223"/>
      <c r="J912" s="148"/>
      <c r="K912" s="107"/>
      <c r="L912" s="265"/>
      <c r="M912" s="182"/>
      <c r="N912" s="152"/>
      <c r="O912" s="152"/>
      <c r="P912" s="152"/>
      <c r="Q912" s="152"/>
      <c r="R912" s="152"/>
    </row>
    <row r="913">
      <c r="E913" s="151"/>
      <c r="F913" s="265"/>
      <c r="G913" s="107"/>
      <c r="H913" s="264"/>
      <c r="I913" s="223"/>
      <c r="J913" s="148"/>
      <c r="K913" s="107"/>
      <c r="L913" s="265"/>
      <c r="M913" s="182"/>
      <c r="N913" s="152"/>
      <c r="O913" s="152"/>
      <c r="P913" s="152"/>
      <c r="Q913" s="152"/>
      <c r="R913" s="152"/>
    </row>
    <row r="914">
      <c r="E914" s="151"/>
      <c r="F914" s="265"/>
      <c r="G914" s="107"/>
      <c r="H914" s="264"/>
      <c r="I914" s="223"/>
      <c r="J914" s="148"/>
      <c r="K914" s="107"/>
      <c r="L914" s="265"/>
      <c r="M914" s="182"/>
      <c r="N914" s="152"/>
      <c r="O914" s="152"/>
      <c r="P914" s="152"/>
      <c r="Q914" s="152"/>
      <c r="R914" s="152"/>
    </row>
    <row r="915">
      <c r="E915" s="151"/>
      <c r="F915" s="265"/>
      <c r="G915" s="107"/>
      <c r="H915" s="264"/>
      <c r="I915" s="223"/>
      <c r="J915" s="148"/>
      <c r="K915" s="107"/>
      <c r="L915" s="265"/>
      <c r="M915" s="182"/>
      <c r="N915" s="152"/>
      <c r="O915" s="152"/>
      <c r="P915" s="152"/>
      <c r="Q915" s="152"/>
      <c r="R915" s="152"/>
    </row>
    <row r="916">
      <c r="E916" s="151"/>
      <c r="F916" s="265"/>
      <c r="G916" s="107"/>
      <c r="H916" s="264"/>
      <c r="I916" s="223"/>
      <c r="J916" s="148"/>
      <c r="K916" s="107"/>
      <c r="L916" s="265"/>
      <c r="M916" s="182"/>
      <c r="N916" s="152"/>
      <c r="O916" s="152"/>
      <c r="P916" s="152"/>
      <c r="Q916" s="152"/>
      <c r="R916" s="152"/>
    </row>
    <row r="917">
      <c r="E917" s="151"/>
      <c r="F917" s="265"/>
      <c r="G917" s="107"/>
      <c r="H917" s="264"/>
      <c r="I917" s="223"/>
      <c r="J917" s="148"/>
      <c r="K917" s="107"/>
      <c r="L917" s="265"/>
      <c r="M917" s="182"/>
      <c r="N917" s="152"/>
      <c r="O917" s="152"/>
      <c r="P917" s="152"/>
      <c r="Q917" s="152"/>
      <c r="R917" s="152"/>
    </row>
    <row r="918">
      <c r="E918" s="151"/>
      <c r="F918" s="265"/>
      <c r="G918" s="107"/>
      <c r="H918" s="264"/>
      <c r="I918" s="223"/>
      <c r="J918" s="148"/>
      <c r="K918" s="107"/>
      <c r="L918" s="265"/>
      <c r="M918" s="182"/>
      <c r="N918" s="152"/>
      <c r="O918" s="152"/>
      <c r="P918" s="152"/>
      <c r="Q918" s="152"/>
      <c r="R918" s="152"/>
    </row>
    <row r="919">
      <c r="E919" s="151"/>
      <c r="F919" s="265"/>
      <c r="G919" s="107"/>
      <c r="H919" s="264"/>
      <c r="I919" s="223"/>
      <c r="J919" s="148"/>
      <c r="K919" s="107"/>
      <c r="L919" s="265"/>
      <c r="M919" s="182"/>
      <c r="N919" s="152"/>
      <c r="O919" s="152"/>
      <c r="P919" s="152"/>
      <c r="Q919" s="152"/>
      <c r="R919" s="152"/>
    </row>
    <row r="920">
      <c r="E920" s="151"/>
      <c r="F920" s="265"/>
      <c r="G920" s="107"/>
      <c r="H920" s="264"/>
      <c r="I920" s="223"/>
      <c r="J920" s="148"/>
      <c r="K920" s="107"/>
      <c r="L920" s="265"/>
      <c r="M920" s="182"/>
      <c r="N920" s="152"/>
      <c r="O920" s="152"/>
      <c r="P920" s="152"/>
      <c r="Q920" s="152"/>
      <c r="R920" s="152"/>
    </row>
    <row r="921">
      <c r="E921" s="151"/>
      <c r="F921" s="265"/>
      <c r="G921" s="107"/>
      <c r="H921" s="264"/>
      <c r="I921" s="223"/>
      <c r="J921" s="148"/>
      <c r="K921" s="107"/>
      <c r="L921" s="265"/>
      <c r="M921" s="182"/>
      <c r="N921" s="152"/>
      <c r="O921" s="152"/>
      <c r="P921" s="152"/>
      <c r="Q921" s="152"/>
      <c r="R921" s="152"/>
    </row>
    <row r="922">
      <c r="E922" s="151"/>
      <c r="F922" s="265"/>
      <c r="G922" s="107"/>
      <c r="H922" s="264"/>
      <c r="I922" s="223"/>
      <c r="J922" s="148"/>
      <c r="K922" s="107"/>
      <c r="L922" s="265"/>
      <c r="M922" s="182"/>
      <c r="N922" s="152"/>
      <c r="O922" s="152"/>
      <c r="P922" s="152"/>
      <c r="Q922" s="152"/>
      <c r="R922" s="152"/>
    </row>
    <row r="923">
      <c r="E923" s="151"/>
      <c r="F923" s="265"/>
      <c r="G923" s="107"/>
      <c r="H923" s="264"/>
      <c r="I923" s="223"/>
      <c r="J923" s="148"/>
      <c r="K923" s="107"/>
      <c r="L923" s="265"/>
      <c r="M923" s="182"/>
      <c r="N923" s="152"/>
      <c r="O923" s="152"/>
      <c r="P923" s="152"/>
      <c r="Q923" s="152"/>
      <c r="R923" s="152"/>
    </row>
    <row r="924">
      <c r="E924" s="151"/>
      <c r="F924" s="265"/>
      <c r="G924" s="107"/>
      <c r="H924" s="264"/>
      <c r="I924" s="223"/>
      <c r="J924" s="148"/>
      <c r="K924" s="107"/>
      <c r="L924" s="265"/>
      <c r="M924" s="182"/>
      <c r="N924" s="152"/>
      <c r="O924" s="152"/>
      <c r="P924" s="152"/>
      <c r="Q924" s="152"/>
      <c r="R924" s="152"/>
    </row>
    <row r="925">
      <c r="E925" s="151"/>
      <c r="F925" s="265"/>
      <c r="G925" s="107"/>
      <c r="H925" s="264"/>
      <c r="I925" s="223"/>
      <c r="J925" s="148"/>
      <c r="K925" s="107"/>
      <c r="L925" s="265"/>
      <c r="M925" s="182"/>
      <c r="N925" s="152"/>
      <c r="O925" s="152"/>
      <c r="P925" s="152"/>
      <c r="Q925" s="152"/>
      <c r="R925" s="152"/>
    </row>
    <row r="926">
      <c r="E926" s="151"/>
      <c r="F926" s="265"/>
      <c r="G926" s="107"/>
      <c r="H926" s="264"/>
      <c r="I926" s="223"/>
      <c r="J926" s="148"/>
      <c r="K926" s="107"/>
      <c r="L926" s="265"/>
      <c r="M926" s="182"/>
      <c r="N926" s="152"/>
      <c r="O926" s="152"/>
      <c r="P926" s="152"/>
      <c r="Q926" s="152"/>
      <c r="R926" s="152"/>
    </row>
    <row r="927">
      <c r="E927" s="151"/>
      <c r="F927" s="265"/>
      <c r="G927" s="107"/>
      <c r="H927" s="264"/>
      <c r="I927" s="223"/>
      <c r="J927" s="148"/>
      <c r="K927" s="107"/>
      <c r="L927" s="265"/>
      <c r="M927" s="182"/>
      <c r="N927" s="152"/>
      <c r="O927" s="152"/>
      <c r="P927" s="152"/>
      <c r="Q927" s="152"/>
      <c r="R927" s="152"/>
    </row>
    <row r="928">
      <c r="E928" s="151"/>
      <c r="F928" s="265"/>
      <c r="G928" s="107"/>
      <c r="H928" s="264"/>
      <c r="I928" s="223"/>
      <c r="J928" s="148"/>
      <c r="K928" s="107"/>
      <c r="L928" s="265"/>
      <c r="M928" s="182"/>
      <c r="N928" s="152"/>
      <c r="O928" s="152"/>
      <c r="P928" s="152"/>
      <c r="Q928" s="152"/>
      <c r="R928" s="152"/>
    </row>
    <row r="929">
      <c r="E929" s="151"/>
      <c r="F929" s="265"/>
      <c r="G929" s="107"/>
      <c r="H929" s="264"/>
      <c r="I929" s="223"/>
      <c r="J929" s="148"/>
      <c r="K929" s="107"/>
      <c r="L929" s="265"/>
      <c r="M929" s="182"/>
      <c r="N929" s="152"/>
      <c r="O929" s="152"/>
      <c r="P929" s="152"/>
      <c r="Q929" s="152"/>
      <c r="R929" s="152"/>
    </row>
    <row r="930">
      <c r="E930" s="151"/>
      <c r="F930" s="265"/>
      <c r="G930" s="107"/>
      <c r="H930" s="264"/>
      <c r="I930" s="223"/>
      <c r="J930" s="148"/>
      <c r="K930" s="107"/>
      <c r="L930" s="265"/>
      <c r="M930" s="182"/>
      <c r="N930" s="152"/>
      <c r="O930" s="152"/>
      <c r="P930" s="152"/>
      <c r="Q930" s="152"/>
      <c r="R930" s="152"/>
    </row>
    <row r="931">
      <c r="E931" s="151"/>
      <c r="F931" s="265"/>
      <c r="G931" s="107"/>
      <c r="H931" s="264"/>
      <c r="I931" s="223"/>
      <c r="J931" s="148"/>
      <c r="K931" s="107"/>
      <c r="L931" s="265"/>
      <c r="M931" s="182"/>
      <c r="N931" s="152"/>
      <c r="O931" s="152"/>
      <c r="P931" s="152"/>
      <c r="Q931" s="152"/>
      <c r="R931" s="152"/>
    </row>
    <row r="932">
      <c r="E932" s="151"/>
      <c r="F932" s="265"/>
      <c r="G932" s="107"/>
      <c r="H932" s="264"/>
      <c r="I932" s="223"/>
      <c r="J932" s="148"/>
      <c r="K932" s="107"/>
      <c r="L932" s="265"/>
      <c r="M932" s="182"/>
      <c r="N932" s="152"/>
      <c r="O932" s="152"/>
      <c r="P932" s="152"/>
      <c r="Q932" s="152"/>
      <c r="R932" s="152"/>
    </row>
    <row r="933">
      <c r="E933" s="151"/>
      <c r="F933" s="265"/>
      <c r="G933" s="107"/>
      <c r="H933" s="264"/>
      <c r="I933" s="223"/>
      <c r="J933" s="148"/>
      <c r="K933" s="107"/>
      <c r="L933" s="265"/>
      <c r="M933" s="182"/>
      <c r="N933" s="152"/>
      <c r="O933" s="152"/>
      <c r="P933" s="152"/>
      <c r="Q933" s="152"/>
      <c r="R933" s="152"/>
    </row>
    <row r="934">
      <c r="E934" s="151"/>
      <c r="F934" s="265"/>
      <c r="G934" s="107"/>
      <c r="H934" s="264"/>
      <c r="I934" s="223"/>
      <c r="J934" s="148"/>
      <c r="K934" s="107"/>
      <c r="L934" s="265"/>
      <c r="M934" s="182"/>
      <c r="N934" s="152"/>
      <c r="O934" s="152"/>
      <c r="P934" s="152"/>
      <c r="Q934" s="152"/>
      <c r="R934" s="152"/>
    </row>
    <row r="935">
      <c r="E935" s="151"/>
      <c r="F935" s="265"/>
      <c r="G935" s="107"/>
      <c r="H935" s="264"/>
      <c r="I935" s="223"/>
      <c r="J935" s="148"/>
      <c r="K935" s="107"/>
      <c r="L935" s="265"/>
      <c r="M935" s="182"/>
      <c r="N935" s="152"/>
      <c r="O935" s="152"/>
      <c r="P935" s="152"/>
      <c r="Q935" s="152"/>
      <c r="R935" s="152"/>
    </row>
    <row r="936">
      <c r="E936" s="151"/>
      <c r="F936" s="265"/>
      <c r="G936" s="107"/>
      <c r="H936" s="264"/>
      <c r="I936" s="223"/>
      <c r="J936" s="148"/>
      <c r="K936" s="107"/>
      <c r="L936" s="265"/>
      <c r="M936" s="182"/>
      <c r="N936" s="152"/>
      <c r="O936" s="152"/>
      <c r="P936" s="152"/>
      <c r="Q936" s="152"/>
      <c r="R936" s="152"/>
    </row>
    <row r="937">
      <c r="E937" s="151"/>
      <c r="F937" s="265"/>
      <c r="G937" s="107"/>
      <c r="H937" s="264"/>
      <c r="I937" s="223"/>
      <c r="J937" s="148"/>
      <c r="K937" s="107"/>
      <c r="L937" s="265"/>
      <c r="M937" s="182"/>
      <c r="N937" s="152"/>
      <c r="O937" s="152"/>
      <c r="P937" s="152"/>
      <c r="Q937" s="152"/>
      <c r="R937" s="152"/>
    </row>
    <row r="938">
      <c r="E938" s="151"/>
      <c r="F938" s="265"/>
      <c r="G938" s="107"/>
      <c r="H938" s="264"/>
      <c r="I938" s="223"/>
      <c r="J938" s="148"/>
      <c r="K938" s="107"/>
      <c r="L938" s="265"/>
      <c r="M938" s="182"/>
      <c r="N938" s="152"/>
      <c r="O938" s="152"/>
      <c r="P938" s="152"/>
      <c r="Q938" s="152"/>
      <c r="R938" s="152"/>
    </row>
    <row r="939">
      <c r="E939" s="151"/>
      <c r="F939" s="265"/>
      <c r="G939" s="107"/>
      <c r="H939" s="264"/>
      <c r="I939" s="223"/>
      <c r="J939" s="148"/>
      <c r="K939" s="107"/>
      <c r="L939" s="265"/>
      <c r="M939" s="182"/>
      <c r="N939" s="152"/>
      <c r="O939" s="152"/>
      <c r="P939" s="152"/>
      <c r="Q939" s="152"/>
      <c r="R939" s="152"/>
    </row>
    <row r="940">
      <c r="E940" s="151"/>
      <c r="F940" s="265"/>
      <c r="G940" s="107"/>
      <c r="H940" s="264"/>
      <c r="I940" s="223"/>
      <c r="J940" s="148"/>
      <c r="K940" s="107"/>
      <c r="L940" s="265"/>
      <c r="M940" s="182"/>
      <c r="N940" s="152"/>
      <c r="O940" s="152"/>
      <c r="P940" s="152"/>
      <c r="Q940" s="152"/>
      <c r="R940" s="152"/>
    </row>
    <row r="941">
      <c r="E941" s="151"/>
      <c r="F941" s="265"/>
      <c r="G941" s="107"/>
      <c r="H941" s="264"/>
      <c r="I941" s="223"/>
      <c r="J941" s="148"/>
      <c r="K941" s="107"/>
      <c r="L941" s="265"/>
      <c r="M941" s="182"/>
      <c r="N941" s="152"/>
      <c r="O941" s="152"/>
      <c r="P941" s="152"/>
      <c r="Q941" s="152"/>
      <c r="R941" s="152"/>
    </row>
    <row r="942">
      <c r="E942" s="151"/>
      <c r="F942" s="265"/>
      <c r="G942" s="107"/>
      <c r="H942" s="264"/>
      <c r="I942" s="223"/>
      <c r="J942" s="148"/>
      <c r="K942" s="107"/>
      <c r="L942" s="265"/>
      <c r="M942" s="182"/>
      <c r="N942" s="152"/>
      <c r="O942" s="152"/>
      <c r="P942" s="152"/>
      <c r="Q942" s="152"/>
      <c r="R942" s="152"/>
    </row>
    <row r="943">
      <c r="E943" s="151"/>
      <c r="F943" s="265"/>
      <c r="G943" s="107"/>
      <c r="H943" s="264"/>
      <c r="I943" s="223"/>
      <c r="J943" s="148"/>
      <c r="K943" s="107"/>
      <c r="L943" s="265"/>
      <c r="M943" s="182"/>
      <c r="N943" s="152"/>
      <c r="O943" s="152"/>
      <c r="P943" s="152"/>
      <c r="Q943" s="152"/>
      <c r="R943" s="152"/>
    </row>
    <row r="944">
      <c r="E944" s="151"/>
      <c r="F944" s="265"/>
      <c r="G944" s="107"/>
      <c r="H944" s="264"/>
      <c r="I944" s="223"/>
      <c r="J944" s="148"/>
      <c r="K944" s="107"/>
      <c r="L944" s="265"/>
      <c r="M944" s="182"/>
      <c r="N944" s="152"/>
      <c r="O944" s="152"/>
      <c r="P944" s="152"/>
      <c r="Q944" s="152"/>
      <c r="R944" s="152"/>
    </row>
    <row r="945">
      <c r="E945" s="151"/>
      <c r="F945" s="265"/>
      <c r="G945" s="107"/>
      <c r="H945" s="264"/>
      <c r="I945" s="223"/>
      <c r="J945" s="148"/>
      <c r="K945" s="107"/>
      <c r="L945" s="265"/>
      <c r="M945" s="182"/>
      <c r="N945" s="152"/>
      <c r="O945" s="152"/>
      <c r="P945" s="152"/>
      <c r="Q945" s="152"/>
      <c r="R945" s="152"/>
    </row>
    <row r="946">
      <c r="E946" s="151"/>
      <c r="F946" s="265"/>
      <c r="G946" s="107"/>
      <c r="H946" s="264"/>
      <c r="I946" s="223"/>
      <c r="J946" s="148"/>
      <c r="K946" s="107"/>
      <c r="L946" s="265"/>
      <c r="M946" s="182"/>
      <c r="N946" s="152"/>
      <c r="O946" s="152"/>
      <c r="P946" s="152"/>
      <c r="Q946" s="152"/>
      <c r="R946" s="152"/>
    </row>
    <row r="947">
      <c r="E947" s="151"/>
      <c r="F947" s="265"/>
      <c r="G947" s="107"/>
      <c r="H947" s="264"/>
      <c r="I947" s="223"/>
      <c r="J947" s="148"/>
      <c r="K947" s="107"/>
      <c r="L947" s="265"/>
      <c r="M947" s="182"/>
      <c r="N947" s="152"/>
      <c r="O947" s="152"/>
      <c r="P947" s="152"/>
      <c r="Q947" s="152"/>
      <c r="R947" s="152"/>
    </row>
    <row r="948">
      <c r="E948" s="151"/>
      <c r="F948" s="265"/>
      <c r="G948" s="107"/>
      <c r="H948" s="264"/>
      <c r="I948" s="223"/>
      <c r="J948" s="148"/>
      <c r="K948" s="107"/>
      <c r="L948" s="265"/>
      <c r="M948" s="182"/>
      <c r="N948" s="152"/>
      <c r="O948" s="152"/>
      <c r="P948" s="152"/>
      <c r="Q948" s="152"/>
      <c r="R948" s="152"/>
    </row>
    <row r="949">
      <c r="E949" s="151"/>
      <c r="F949" s="265"/>
      <c r="G949" s="107"/>
      <c r="H949" s="264"/>
      <c r="I949" s="223"/>
      <c r="J949" s="148"/>
      <c r="K949" s="107"/>
      <c r="L949" s="265"/>
      <c r="M949" s="182"/>
      <c r="N949" s="152"/>
      <c r="O949" s="152"/>
      <c r="P949" s="152"/>
      <c r="Q949" s="152"/>
      <c r="R949" s="152"/>
    </row>
    <row r="950">
      <c r="E950" s="151"/>
      <c r="F950" s="265"/>
      <c r="G950" s="107"/>
      <c r="H950" s="264"/>
      <c r="I950" s="223"/>
      <c r="J950" s="148"/>
      <c r="K950" s="107"/>
      <c r="L950" s="265"/>
      <c r="M950" s="182"/>
      <c r="N950" s="152"/>
      <c r="O950" s="152"/>
      <c r="P950" s="152"/>
      <c r="Q950" s="152"/>
      <c r="R950" s="152"/>
    </row>
    <row r="951">
      <c r="E951" s="151"/>
      <c r="F951" s="265"/>
      <c r="G951" s="107"/>
      <c r="H951" s="264"/>
      <c r="I951" s="223"/>
      <c r="J951" s="148"/>
      <c r="K951" s="107"/>
      <c r="L951" s="265"/>
      <c r="M951" s="182"/>
      <c r="N951" s="152"/>
      <c r="O951" s="152"/>
      <c r="P951" s="152"/>
      <c r="Q951" s="152"/>
      <c r="R951" s="152"/>
    </row>
    <row r="952">
      <c r="E952" s="151"/>
      <c r="F952" s="265"/>
      <c r="G952" s="107"/>
      <c r="H952" s="264"/>
      <c r="I952" s="223"/>
      <c r="J952" s="148"/>
      <c r="K952" s="107"/>
      <c r="L952" s="265"/>
      <c r="M952" s="182"/>
      <c r="N952" s="152"/>
      <c r="O952" s="152"/>
      <c r="P952" s="152"/>
      <c r="Q952" s="152"/>
      <c r="R952" s="152"/>
    </row>
    <row r="953">
      <c r="E953" s="151"/>
      <c r="F953" s="265"/>
      <c r="G953" s="107"/>
      <c r="H953" s="264"/>
      <c r="I953" s="223"/>
      <c r="J953" s="148"/>
      <c r="K953" s="107"/>
      <c r="L953" s="265"/>
      <c r="M953" s="182"/>
      <c r="N953" s="152"/>
      <c r="O953" s="152"/>
      <c r="P953" s="152"/>
      <c r="Q953" s="152"/>
      <c r="R953" s="152"/>
    </row>
    <row r="954">
      <c r="E954" s="151"/>
      <c r="F954" s="265"/>
      <c r="G954" s="107"/>
      <c r="H954" s="264"/>
      <c r="I954" s="223"/>
      <c r="J954" s="148"/>
      <c r="K954" s="107"/>
      <c r="L954" s="265"/>
      <c r="M954" s="182"/>
      <c r="N954" s="152"/>
      <c r="O954" s="152"/>
      <c r="P954" s="152"/>
      <c r="Q954" s="152"/>
      <c r="R954" s="152"/>
    </row>
    <row r="955">
      <c r="E955" s="151"/>
      <c r="F955" s="265"/>
      <c r="G955" s="107"/>
      <c r="H955" s="264"/>
      <c r="I955" s="223"/>
      <c r="J955" s="148"/>
      <c r="K955" s="107"/>
      <c r="L955" s="265"/>
      <c r="M955" s="182"/>
      <c r="N955" s="152"/>
      <c r="O955" s="152"/>
      <c r="P955" s="152"/>
      <c r="Q955" s="152"/>
      <c r="R955" s="152"/>
    </row>
    <row r="956">
      <c r="E956" s="151"/>
      <c r="F956" s="265"/>
      <c r="G956" s="107"/>
      <c r="H956" s="264"/>
      <c r="I956" s="223"/>
      <c r="J956" s="148"/>
      <c r="K956" s="107"/>
      <c r="L956" s="265"/>
      <c r="M956" s="182"/>
      <c r="N956" s="152"/>
      <c r="O956" s="152"/>
      <c r="P956" s="152"/>
      <c r="Q956" s="152"/>
      <c r="R956" s="152"/>
    </row>
    <row r="957">
      <c r="E957" s="151"/>
      <c r="F957" s="265"/>
      <c r="G957" s="107"/>
      <c r="H957" s="264"/>
      <c r="I957" s="223"/>
      <c r="J957" s="148"/>
      <c r="K957" s="107"/>
      <c r="L957" s="265"/>
      <c r="M957" s="182"/>
      <c r="N957" s="152"/>
      <c r="O957" s="152"/>
      <c r="P957" s="152"/>
      <c r="Q957" s="152"/>
      <c r="R957" s="152"/>
    </row>
    <row r="958">
      <c r="E958" s="151"/>
      <c r="F958" s="265"/>
      <c r="G958" s="107"/>
      <c r="H958" s="264"/>
      <c r="I958" s="223"/>
      <c r="J958" s="148"/>
      <c r="K958" s="107"/>
      <c r="L958" s="265"/>
      <c r="M958" s="182"/>
      <c r="N958" s="152"/>
      <c r="O958" s="152"/>
      <c r="P958" s="152"/>
      <c r="Q958" s="152"/>
      <c r="R958" s="152"/>
    </row>
    <row r="959">
      <c r="E959" s="151"/>
      <c r="F959" s="265"/>
      <c r="G959" s="107"/>
      <c r="H959" s="264"/>
      <c r="I959" s="223"/>
      <c r="J959" s="148"/>
      <c r="K959" s="107"/>
      <c r="L959" s="265"/>
      <c r="M959" s="182"/>
      <c r="N959" s="152"/>
      <c r="O959" s="152"/>
      <c r="P959" s="152"/>
      <c r="Q959" s="152"/>
      <c r="R959" s="152"/>
    </row>
    <row r="960">
      <c r="E960" s="151"/>
      <c r="F960" s="265"/>
      <c r="G960" s="107"/>
      <c r="H960" s="264"/>
      <c r="I960" s="223"/>
      <c r="J960" s="148"/>
      <c r="K960" s="107"/>
      <c r="L960" s="265"/>
      <c r="M960" s="182"/>
      <c r="N960" s="152"/>
      <c r="O960" s="152"/>
      <c r="P960" s="152"/>
      <c r="Q960" s="152"/>
      <c r="R960" s="152"/>
    </row>
    <row r="961">
      <c r="E961" s="151"/>
      <c r="F961" s="265"/>
      <c r="G961" s="107"/>
      <c r="H961" s="264"/>
      <c r="I961" s="223"/>
      <c r="J961" s="148"/>
      <c r="K961" s="107"/>
      <c r="L961" s="265"/>
      <c r="M961" s="182"/>
      <c r="N961" s="152"/>
      <c r="O961" s="152"/>
      <c r="P961" s="152"/>
      <c r="Q961" s="152"/>
      <c r="R961" s="152"/>
    </row>
    <row r="962">
      <c r="E962" s="151"/>
      <c r="F962" s="265"/>
      <c r="G962" s="107"/>
      <c r="H962" s="264"/>
      <c r="I962" s="223"/>
      <c r="J962" s="148"/>
      <c r="K962" s="107"/>
      <c r="L962" s="265"/>
      <c r="M962" s="182"/>
      <c r="N962" s="152"/>
      <c r="O962" s="152"/>
      <c r="P962" s="152"/>
      <c r="Q962" s="152"/>
      <c r="R962" s="152"/>
    </row>
    <row r="963">
      <c r="E963" s="151"/>
      <c r="F963" s="265"/>
      <c r="G963" s="107"/>
      <c r="H963" s="264"/>
      <c r="I963" s="223"/>
      <c r="J963" s="148"/>
      <c r="K963" s="107"/>
      <c r="L963" s="265"/>
      <c r="M963" s="182"/>
      <c r="N963" s="152"/>
      <c r="O963" s="152"/>
      <c r="P963" s="152"/>
      <c r="Q963" s="152"/>
      <c r="R963" s="152"/>
    </row>
    <row r="964">
      <c r="E964" s="151"/>
      <c r="F964" s="265"/>
      <c r="G964" s="107"/>
      <c r="H964" s="264"/>
      <c r="I964" s="223"/>
      <c r="J964" s="148"/>
      <c r="K964" s="107"/>
      <c r="L964" s="265"/>
      <c r="M964" s="182"/>
      <c r="N964" s="152"/>
      <c r="O964" s="152"/>
      <c r="P964" s="152"/>
      <c r="Q964" s="152"/>
      <c r="R964" s="152"/>
    </row>
    <row r="965">
      <c r="E965" s="151"/>
      <c r="F965" s="265"/>
      <c r="G965" s="107"/>
      <c r="H965" s="264"/>
      <c r="I965" s="223"/>
      <c r="J965" s="148"/>
      <c r="K965" s="107"/>
      <c r="L965" s="265"/>
      <c r="M965" s="182"/>
      <c r="N965" s="152"/>
      <c r="O965" s="152"/>
      <c r="P965" s="152"/>
      <c r="Q965" s="152"/>
      <c r="R965" s="152"/>
    </row>
    <row r="966">
      <c r="E966" s="151"/>
      <c r="F966" s="265"/>
      <c r="G966" s="107"/>
      <c r="H966" s="264"/>
      <c r="I966" s="223"/>
      <c r="J966" s="148"/>
      <c r="K966" s="107"/>
      <c r="L966" s="265"/>
      <c r="M966" s="182"/>
      <c r="N966" s="152"/>
      <c r="O966" s="152"/>
      <c r="P966" s="152"/>
      <c r="Q966" s="152"/>
      <c r="R966" s="152"/>
    </row>
    <row r="967">
      <c r="E967" s="151"/>
      <c r="F967" s="265"/>
      <c r="G967" s="107"/>
      <c r="H967" s="264"/>
      <c r="I967" s="223"/>
      <c r="J967" s="148"/>
      <c r="K967" s="107"/>
      <c r="L967" s="265"/>
      <c r="M967" s="182"/>
      <c r="N967" s="152"/>
      <c r="O967" s="152"/>
      <c r="P967" s="152"/>
      <c r="Q967" s="152"/>
      <c r="R967" s="152"/>
    </row>
    <row r="968">
      <c r="E968" s="151"/>
      <c r="F968" s="265"/>
      <c r="G968" s="107"/>
      <c r="H968" s="264"/>
      <c r="I968" s="223"/>
      <c r="J968" s="148"/>
      <c r="K968" s="107"/>
      <c r="L968" s="265"/>
      <c r="M968" s="182"/>
      <c r="N968" s="152"/>
      <c r="O968" s="152"/>
      <c r="P968" s="152"/>
      <c r="Q968" s="152"/>
      <c r="R968" s="152"/>
    </row>
    <row r="969">
      <c r="E969" s="151"/>
      <c r="F969" s="265"/>
      <c r="G969" s="107"/>
      <c r="H969" s="264"/>
      <c r="I969" s="223"/>
      <c r="J969" s="148"/>
      <c r="K969" s="107"/>
      <c r="L969" s="265"/>
      <c r="M969" s="182"/>
      <c r="N969" s="152"/>
      <c r="O969" s="152"/>
      <c r="P969" s="152"/>
      <c r="Q969" s="152"/>
      <c r="R969" s="152"/>
    </row>
    <row r="970">
      <c r="E970" s="151"/>
      <c r="F970" s="265"/>
      <c r="G970" s="107"/>
      <c r="H970" s="264"/>
      <c r="I970" s="223"/>
      <c r="J970" s="148"/>
      <c r="K970" s="107"/>
      <c r="L970" s="265"/>
      <c r="M970" s="182"/>
      <c r="N970" s="152"/>
      <c r="O970" s="152"/>
      <c r="P970" s="152"/>
      <c r="Q970" s="152"/>
      <c r="R970" s="152"/>
    </row>
    <row r="971">
      <c r="E971" s="151"/>
      <c r="F971" s="265"/>
      <c r="G971" s="107"/>
      <c r="H971" s="264"/>
      <c r="I971" s="223"/>
      <c r="J971" s="148"/>
      <c r="K971" s="107"/>
      <c r="L971" s="265"/>
      <c r="M971" s="182"/>
      <c r="N971" s="152"/>
      <c r="O971" s="152"/>
      <c r="P971" s="152"/>
      <c r="Q971" s="152"/>
      <c r="R971" s="152"/>
    </row>
    <row r="972">
      <c r="E972" s="151"/>
      <c r="F972" s="265"/>
      <c r="G972" s="107"/>
      <c r="H972" s="264"/>
      <c r="I972" s="223"/>
      <c r="J972" s="148"/>
      <c r="K972" s="107"/>
      <c r="L972" s="265"/>
      <c r="M972" s="182"/>
      <c r="N972" s="152"/>
      <c r="O972" s="152"/>
      <c r="P972" s="152"/>
      <c r="Q972" s="152"/>
      <c r="R972" s="152"/>
    </row>
    <row r="973">
      <c r="E973" s="151"/>
      <c r="F973" s="265"/>
      <c r="G973" s="107"/>
      <c r="H973" s="264"/>
      <c r="I973" s="223"/>
      <c r="J973" s="148"/>
      <c r="K973" s="107"/>
      <c r="L973" s="265"/>
      <c r="M973" s="182"/>
      <c r="N973" s="152"/>
      <c r="O973" s="152"/>
      <c r="P973" s="152"/>
      <c r="Q973" s="152"/>
      <c r="R973" s="152"/>
    </row>
    <row r="974">
      <c r="E974" s="151"/>
      <c r="F974" s="265"/>
      <c r="G974" s="107"/>
      <c r="H974" s="264"/>
      <c r="I974" s="223"/>
      <c r="J974" s="148"/>
      <c r="K974" s="107"/>
      <c r="L974" s="265"/>
      <c r="M974" s="182"/>
      <c r="N974" s="152"/>
      <c r="O974" s="152"/>
      <c r="P974" s="152"/>
      <c r="Q974" s="152"/>
      <c r="R974" s="152"/>
    </row>
    <row r="975">
      <c r="E975" s="151"/>
      <c r="F975" s="265"/>
      <c r="G975" s="107"/>
      <c r="H975" s="264"/>
      <c r="I975" s="223"/>
      <c r="J975" s="148"/>
      <c r="K975" s="107"/>
      <c r="L975" s="265"/>
      <c r="M975" s="182"/>
      <c r="N975" s="152"/>
      <c r="O975" s="152"/>
      <c r="P975" s="152"/>
      <c r="Q975" s="152"/>
      <c r="R975" s="152"/>
    </row>
    <row r="976">
      <c r="E976" s="151"/>
      <c r="F976" s="265"/>
      <c r="G976" s="107"/>
      <c r="H976" s="264"/>
      <c r="I976" s="223"/>
      <c r="J976" s="148"/>
      <c r="K976" s="107"/>
      <c r="L976" s="265"/>
      <c r="M976" s="182"/>
      <c r="N976" s="152"/>
      <c r="O976" s="152"/>
      <c r="P976" s="152"/>
      <c r="Q976" s="152"/>
      <c r="R976" s="152"/>
    </row>
    <row r="977">
      <c r="E977" s="151"/>
      <c r="F977" s="265"/>
      <c r="G977" s="107"/>
      <c r="H977" s="264"/>
      <c r="I977" s="223"/>
      <c r="J977" s="148"/>
      <c r="K977" s="107"/>
      <c r="L977" s="265"/>
      <c r="M977" s="182"/>
      <c r="N977" s="152"/>
      <c r="O977" s="152"/>
      <c r="P977" s="152"/>
      <c r="Q977" s="152"/>
      <c r="R977" s="152"/>
    </row>
    <row r="978">
      <c r="E978" s="151"/>
      <c r="F978" s="265"/>
      <c r="G978" s="107"/>
      <c r="H978" s="264"/>
      <c r="I978" s="223"/>
      <c r="J978" s="148"/>
      <c r="K978" s="107"/>
      <c r="L978" s="265"/>
      <c r="M978" s="182"/>
      <c r="N978" s="152"/>
      <c r="O978" s="152"/>
      <c r="P978" s="152"/>
      <c r="Q978" s="152"/>
      <c r="R978" s="152"/>
    </row>
    <row r="979">
      <c r="E979" s="151"/>
      <c r="F979" s="265"/>
      <c r="G979" s="107"/>
      <c r="H979" s="264"/>
      <c r="I979" s="223"/>
      <c r="J979" s="148"/>
      <c r="K979" s="107"/>
      <c r="L979" s="265"/>
      <c r="M979" s="182"/>
      <c r="N979" s="152"/>
      <c r="O979" s="152"/>
      <c r="P979" s="152"/>
      <c r="Q979" s="152"/>
      <c r="R979" s="152"/>
    </row>
    <row r="980">
      <c r="E980" s="151"/>
      <c r="F980" s="265"/>
      <c r="G980" s="107"/>
      <c r="H980" s="264"/>
      <c r="I980" s="223"/>
      <c r="J980" s="148"/>
      <c r="K980" s="107"/>
      <c r="L980" s="265"/>
      <c r="M980" s="182"/>
      <c r="N980" s="152"/>
      <c r="O980" s="152"/>
      <c r="P980" s="152"/>
      <c r="Q980" s="152"/>
      <c r="R980" s="152"/>
    </row>
    <row r="981">
      <c r="E981" s="151"/>
      <c r="F981" s="265"/>
      <c r="G981" s="107"/>
      <c r="H981" s="264"/>
      <c r="I981" s="223"/>
      <c r="J981" s="148"/>
      <c r="K981" s="107"/>
      <c r="L981" s="265"/>
      <c r="M981" s="182"/>
      <c r="N981" s="152"/>
      <c r="O981" s="152"/>
      <c r="P981" s="152"/>
      <c r="Q981" s="152"/>
      <c r="R981" s="152"/>
    </row>
    <row r="982">
      <c r="E982" s="151"/>
      <c r="F982" s="265"/>
      <c r="G982" s="107"/>
      <c r="H982" s="264"/>
      <c r="I982" s="223"/>
      <c r="J982" s="148"/>
      <c r="K982" s="107"/>
      <c r="L982" s="265"/>
      <c r="M982" s="182"/>
      <c r="N982" s="152"/>
      <c r="O982" s="152"/>
      <c r="P982" s="152"/>
      <c r="Q982" s="152"/>
      <c r="R982" s="152"/>
    </row>
    <row r="983">
      <c r="E983" s="151"/>
      <c r="F983" s="265"/>
      <c r="G983" s="107"/>
      <c r="H983" s="264"/>
      <c r="I983" s="223"/>
      <c r="J983" s="148"/>
      <c r="K983" s="107"/>
      <c r="L983" s="265"/>
      <c r="M983" s="182"/>
      <c r="N983" s="152"/>
      <c r="O983" s="152"/>
      <c r="P983" s="152"/>
      <c r="Q983" s="152"/>
      <c r="R983" s="152"/>
    </row>
    <row r="984">
      <c r="E984" s="151"/>
      <c r="F984" s="265"/>
      <c r="G984" s="107"/>
      <c r="H984" s="264"/>
      <c r="I984" s="223"/>
      <c r="J984" s="148"/>
      <c r="K984" s="107"/>
      <c r="L984" s="265"/>
      <c r="M984" s="182"/>
      <c r="N984" s="152"/>
      <c r="O984" s="152"/>
      <c r="P984" s="152"/>
      <c r="Q984" s="152"/>
      <c r="R984" s="152"/>
    </row>
    <row r="985">
      <c r="E985" s="151"/>
      <c r="F985" s="265"/>
      <c r="G985" s="107"/>
      <c r="H985" s="264"/>
      <c r="I985" s="223"/>
      <c r="J985" s="148"/>
      <c r="K985" s="107"/>
      <c r="L985" s="265"/>
      <c r="M985" s="182"/>
      <c r="N985" s="152"/>
      <c r="O985" s="152"/>
      <c r="P985" s="152"/>
      <c r="Q985" s="152"/>
      <c r="R985" s="152"/>
    </row>
    <row r="986">
      <c r="E986" s="151"/>
      <c r="F986" s="265"/>
      <c r="G986" s="107"/>
      <c r="H986" s="264"/>
      <c r="I986" s="223"/>
      <c r="J986" s="148"/>
      <c r="K986" s="107"/>
      <c r="L986" s="265"/>
      <c r="M986" s="182"/>
      <c r="N986" s="152"/>
      <c r="O986" s="152"/>
      <c r="P986" s="152"/>
      <c r="Q986" s="152"/>
      <c r="R986" s="152"/>
    </row>
    <row r="987">
      <c r="E987" s="151"/>
      <c r="F987" s="265"/>
      <c r="G987" s="107"/>
      <c r="H987" s="264"/>
      <c r="I987" s="223"/>
      <c r="J987" s="148"/>
      <c r="K987" s="107"/>
      <c r="L987" s="265"/>
      <c r="M987" s="182"/>
      <c r="N987" s="152"/>
      <c r="O987" s="152"/>
      <c r="P987" s="152"/>
      <c r="Q987" s="152"/>
      <c r="R987" s="152"/>
    </row>
    <row r="988">
      <c r="E988" s="151"/>
      <c r="F988" s="265"/>
      <c r="G988" s="107"/>
      <c r="H988" s="264"/>
      <c r="I988" s="223"/>
      <c r="J988" s="148"/>
      <c r="K988" s="107"/>
      <c r="L988" s="265"/>
      <c r="M988" s="182"/>
      <c r="N988" s="152"/>
      <c r="O988" s="152"/>
      <c r="P988" s="152"/>
      <c r="Q988" s="152"/>
      <c r="R988" s="152"/>
    </row>
    <row r="989">
      <c r="E989" s="151"/>
      <c r="F989" s="265"/>
      <c r="G989" s="107"/>
      <c r="H989" s="264"/>
      <c r="I989" s="223"/>
      <c r="J989" s="148"/>
      <c r="K989" s="107"/>
      <c r="L989" s="265"/>
      <c r="M989" s="182"/>
      <c r="N989" s="152"/>
      <c r="O989" s="152"/>
      <c r="P989" s="152"/>
      <c r="Q989" s="152"/>
      <c r="R989" s="152"/>
    </row>
    <row r="990">
      <c r="E990" s="151"/>
      <c r="F990" s="265"/>
      <c r="G990" s="107"/>
      <c r="H990" s="264"/>
      <c r="I990" s="223"/>
      <c r="J990" s="148"/>
      <c r="K990" s="107"/>
      <c r="L990" s="265"/>
      <c r="M990" s="182"/>
      <c r="N990" s="152"/>
      <c r="O990" s="152"/>
      <c r="P990" s="152"/>
      <c r="Q990" s="152"/>
      <c r="R990" s="152"/>
    </row>
    <row r="991">
      <c r="E991" s="151"/>
      <c r="F991" s="265"/>
      <c r="G991" s="107"/>
      <c r="H991" s="264"/>
      <c r="I991" s="223"/>
      <c r="J991" s="148"/>
      <c r="K991" s="107"/>
      <c r="L991" s="265"/>
      <c r="M991" s="182"/>
      <c r="N991" s="152"/>
      <c r="O991" s="152"/>
      <c r="P991" s="152"/>
      <c r="Q991" s="152"/>
      <c r="R991" s="152"/>
    </row>
    <row r="992">
      <c r="E992" s="151"/>
      <c r="F992" s="265"/>
      <c r="G992" s="107"/>
      <c r="H992" s="264"/>
      <c r="I992" s="223"/>
      <c r="J992" s="148"/>
      <c r="K992" s="107"/>
      <c r="L992" s="265"/>
      <c r="M992" s="182"/>
      <c r="N992" s="152"/>
      <c r="O992" s="152"/>
      <c r="P992" s="152"/>
      <c r="Q992" s="152"/>
      <c r="R992" s="152"/>
    </row>
    <row r="993">
      <c r="E993" s="151"/>
      <c r="F993" s="265"/>
      <c r="G993" s="107"/>
      <c r="H993" s="264"/>
      <c r="I993" s="223"/>
      <c r="J993" s="148"/>
      <c r="K993" s="107"/>
      <c r="L993" s="265"/>
      <c r="M993" s="182"/>
      <c r="N993" s="152"/>
      <c r="O993" s="152"/>
      <c r="P993" s="152"/>
      <c r="Q993" s="152"/>
      <c r="R993" s="152"/>
    </row>
    <row r="994">
      <c r="E994" s="151"/>
      <c r="F994" s="265"/>
      <c r="G994" s="107"/>
      <c r="H994" s="264"/>
      <c r="I994" s="223"/>
      <c r="J994" s="148"/>
      <c r="K994" s="107"/>
      <c r="L994" s="265"/>
      <c r="M994" s="182"/>
      <c r="N994" s="152"/>
      <c r="O994" s="152"/>
      <c r="P994" s="152"/>
      <c r="Q994" s="152"/>
      <c r="R994" s="152"/>
    </row>
    <row r="995">
      <c r="E995" s="151"/>
      <c r="F995" s="265"/>
      <c r="G995" s="107"/>
      <c r="H995" s="264"/>
      <c r="I995" s="223"/>
      <c r="J995" s="148"/>
      <c r="K995" s="107"/>
      <c r="L995" s="265"/>
      <c r="M995" s="182"/>
      <c r="N995" s="152"/>
      <c r="O995" s="152"/>
      <c r="P995" s="152"/>
      <c r="Q995" s="152"/>
      <c r="R995" s="152"/>
    </row>
    <row r="996">
      <c r="E996" s="151"/>
      <c r="F996" s="265"/>
      <c r="G996" s="107"/>
      <c r="H996" s="264"/>
      <c r="I996" s="223"/>
      <c r="J996" s="148"/>
      <c r="K996" s="107"/>
      <c r="L996" s="265"/>
      <c r="M996" s="182"/>
      <c r="N996" s="152"/>
      <c r="O996" s="152"/>
      <c r="P996" s="152"/>
      <c r="Q996" s="152"/>
      <c r="R996" s="152"/>
    </row>
    <row r="997">
      <c r="E997" s="151"/>
      <c r="F997" s="265"/>
      <c r="G997" s="107"/>
      <c r="H997" s="264"/>
      <c r="I997" s="223"/>
      <c r="J997" s="148"/>
      <c r="K997" s="107"/>
      <c r="L997" s="265"/>
      <c r="M997" s="182"/>
      <c r="N997" s="152"/>
      <c r="O997" s="152"/>
      <c r="P997" s="152"/>
      <c r="Q997" s="152"/>
      <c r="R997" s="152"/>
    </row>
    <row r="998">
      <c r="E998" s="151"/>
      <c r="F998" s="265"/>
      <c r="G998" s="107"/>
      <c r="H998" s="264"/>
      <c r="I998" s="223"/>
      <c r="J998" s="148"/>
      <c r="K998" s="107"/>
      <c r="L998" s="265"/>
      <c r="M998" s="182"/>
      <c r="N998" s="152"/>
      <c r="O998" s="152"/>
      <c r="P998" s="152"/>
      <c r="Q998" s="152"/>
      <c r="R998" s="152"/>
    </row>
    <row r="999">
      <c r="E999" s="151"/>
      <c r="F999" s="265"/>
      <c r="G999" s="107"/>
      <c r="H999" s="264"/>
      <c r="I999" s="223"/>
      <c r="J999" s="148"/>
      <c r="K999" s="107"/>
      <c r="L999" s="265"/>
      <c r="M999" s="182"/>
      <c r="N999" s="152"/>
      <c r="O999" s="152"/>
      <c r="P999" s="152"/>
      <c r="Q999" s="152"/>
      <c r="R999" s="152"/>
    </row>
    <row r="1000">
      <c r="E1000" s="151"/>
      <c r="F1000" s="265"/>
      <c r="G1000" s="107"/>
      <c r="H1000" s="264"/>
      <c r="I1000" s="223"/>
      <c r="J1000" s="148"/>
      <c r="K1000" s="107"/>
      <c r="L1000" s="265"/>
      <c r="M1000" s="182"/>
      <c r="N1000" s="152"/>
      <c r="O1000" s="152"/>
      <c r="P1000" s="152"/>
      <c r="Q1000" s="152"/>
      <c r="R1000" s="152"/>
    </row>
    <row r="1001">
      <c r="E1001" s="151"/>
      <c r="F1001" s="265"/>
      <c r="G1001" s="107"/>
      <c r="H1001" s="264"/>
      <c r="I1001" s="223"/>
      <c r="J1001" s="148"/>
      <c r="K1001" s="107"/>
      <c r="L1001" s="265"/>
      <c r="M1001" s="182"/>
      <c r="N1001" s="152"/>
      <c r="O1001" s="152"/>
      <c r="P1001" s="152"/>
      <c r="Q1001" s="152"/>
      <c r="R1001" s="152"/>
    </row>
    <row r="1002">
      <c r="E1002" s="151"/>
      <c r="F1002" s="265"/>
      <c r="G1002" s="107"/>
      <c r="H1002" s="264"/>
      <c r="I1002" s="223"/>
      <c r="J1002" s="148"/>
      <c r="K1002" s="107"/>
      <c r="L1002" s="265"/>
      <c r="M1002" s="182"/>
      <c r="N1002" s="152"/>
      <c r="O1002" s="152"/>
      <c r="P1002" s="152"/>
      <c r="Q1002" s="152"/>
      <c r="R1002" s="152"/>
    </row>
    <row r="1003">
      <c r="E1003" s="151"/>
      <c r="F1003" s="265"/>
      <c r="G1003" s="107"/>
      <c r="H1003" s="264"/>
      <c r="I1003" s="223"/>
      <c r="J1003" s="148"/>
      <c r="K1003" s="107"/>
      <c r="L1003" s="265"/>
      <c r="M1003" s="182"/>
      <c r="N1003" s="152"/>
      <c r="O1003" s="152"/>
      <c r="P1003" s="152"/>
      <c r="Q1003" s="152"/>
      <c r="R1003" s="152"/>
    </row>
    <row r="1004">
      <c r="E1004" s="151"/>
      <c r="F1004" s="265"/>
      <c r="G1004" s="107"/>
      <c r="H1004" s="264"/>
      <c r="I1004" s="223"/>
      <c r="J1004" s="148"/>
      <c r="K1004" s="107"/>
      <c r="L1004" s="265"/>
      <c r="M1004" s="182"/>
      <c r="N1004" s="152"/>
      <c r="O1004" s="152"/>
      <c r="P1004" s="152"/>
      <c r="Q1004" s="152"/>
      <c r="R1004" s="152"/>
    </row>
    <row r="1005">
      <c r="E1005" s="151"/>
      <c r="F1005" s="265"/>
      <c r="G1005" s="107"/>
      <c r="H1005" s="264"/>
      <c r="I1005" s="223"/>
      <c r="J1005" s="148"/>
      <c r="K1005" s="107"/>
      <c r="L1005" s="265"/>
      <c r="M1005" s="182"/>
      <c r="N1005" s="152"/>
      <c r="O1005" s="152"/>
      <c r="P1005" s="152"/>
      <c r="Q1005" s="152"/>
      <c r="R1005" s="152"/>
    </row>
    <row r="1006">
      <c r="E1006" s="151"/>
      <c r="F1006" s="265"/>
      <c r="G1006" s="107"/>
      <c r="H1006" s="264"/>
      <c r="I1006" s="223"/>
      <c r="J1006" s="148"/>
      <c r="K1006" s="107"/>
      <c r="L1006" s="265"/>
      <c r="M1006" s="182"/>
      <c r="N1006" s="152"/>
      <c r="O1006" s="152"/>
      <c r="P1006" s="152"/>
      <c r="Q1006" s="152"/>
      <c r="R1006" s="152"/>
    </row>
    <row r="1007">
      <c r="E1007" s="151"/>
      <c r="F1007" s="265"/>
      <c r="G1007" s="107"/>
      <c r="H1007" s="264"/>
      <c r="I1007" s="223"/>
      <c r="J1007" s="148"/>
      <c r="K1007" s="107"/>
      <c r="L1007" s="265"/>
      <c r="M1007" s="182"/>
      <c r="N1007" s="152"/>
      <c r="O1007" s="152"/>
      <c r="P1007" s="152"/>
      <c r="Q1007" s="152"/>
      <c r="R1007" s="152"/>
    </row>
    <row r="1008">
      <c r="E1008" s="151"/>
      <c r="F1008" s="265"/>
      <c r="G1008" s="107"/>
      <c r="H1008" s="264"/>
      <c r="I1008" s="223"/>
      <c r="J1008" s="148"/>
      <c r="K1008" s="107"/>
      <c r="L1008" s="265"/>
      <c r="M1008" s="182"/>
      <c r="N1008" s="152"/>
      <c r="O1008" s="152"/>
      <c r="P1008" s="152"/>
      <c r="Q1008" s="152"/>
      <c r="R1008" s="152"/>
    </row>
    <row r="1009">
      <c r="E1009" s="151"/>
      <c r="F1009" s="265"/>
      <c r="G1009" s="107"/>
      <c r="H1009" s="264"/>
      <c r="I1009" s="223"/>
      <c r="J1009" s="148"/>
      <c r="K1009" s="107"/>
      <c r="L1009" s="265"/>
      <c r="M1009" s="182"/>
      <c r="N1009" s="152"/>
      <c r="O1009" s="152"/>
      <c r="P1009" s="152"/>
      <c r="Q1009" s="152"/>
      <c r="R1009" s="152"/>
    </row>
    <row r="1010">
      <c r="E1010" s="151"/>
      <c r="F1010" s="265"/>
      <c r="G1010" s="107"/>
      <c r="H1010" s="264"/>
      <c r="I1010" s="223"/>
      <c r="J1010" s="148"/>
      <c r="K1010" s="107"/>
      <c r="L1010" s="265"/>
      <c r="M1010" s="182"/>
      <c r="N1010" s="152"/>
      <c r="O1010" s="152"/>
      <c r="P1010" s="152"/>
      <c r="Q1010" s="152"/>
      <c r="R1010" s="152"/>
    </row>
    <row r="1011">
      <c r="E1011" s="151"/>
      <c r="F1011" s="265"/>
      <c r="G1011" s="107"/>
      <c r="H1011" s="264"/>
      <c r="I1011" s="223"/>
      <c r="J1011" s="148"/>
      <c r="K1011" s="107"/>
      <c r="L1011" s="265"/>
      <c r="M1011" s="182"/>
      <c r="N1011" s="152"/>
      <c r="O1011" s="152"/>
      <c r="P1011" s="152"/>
      <c r="Q1011" s="152"/>
      <c r="R1011" s="152"/>
    </row>
    <row r="1012">
      <c r="E1012" s="151"/>
      <c r="F1012" s="265"/>
      <c r="G1012" s="107"/>
      <c r="H1012" s="264"/>
      <c r="I1012" s="223"/>
      <c r="J1012" s="148"/>
      <c r="K1012" s="107"/>
      <c r="L1012" s="265"/>
      <c r="M1012" s="182"/>
      <c r="N1012" s="152"/>
      <c r="O1012" s="152"/>
      <c r="P1012" s="152"/>
      <c r="Q1012" s="152"/>
      <c r="R1012" s="152"/>
    </row>
    <row r="1013">
      <c r="E1013" s="151"/>
      <c r="F1013" s="265"/>
      <c r="G1013" s="107"/>
      <c r="H1013" s="264"/>
      <c r="I1013" s="223"/>
      <c r="J1013" s="148"/>
      <c r="K1013" s="107"/>
      <c r="L1013" s="265"/>
      <c r="M1013" s="182"/>
      <c r="N1013" s="152"/>
      <c r="O1013" s="152"/>
      <c r="P1013" s="152"/>
      <c r="Q1013" s="152"/>
      <c r="R1013" s="152"/>
    </row>
    <row r="1014">
      <c r="E1014" s="151"/>
      <c r="F1014" s="265"/>
      <c r="G1014" s="107"/>
      <c r="H1014" s="264"/>
      <c r="I1014" s="223"/>
      <c r="J1014" s="148"/>
      <c r="K1014" s="107"/>
      <c r="L1014" s="265"/>
      <c r="M1014" s="182"/>
      <c r="N1014" s="152"/>
      <c r="O1014" s="152"/>
      <c r="P1014" s="152"/>
      <c r="Q1014" s="152"/>
      <c r="R1014" s="152"/>
    </row>
    <row r="1015">
      <c r="E1015" s="151"/>
      <c r="F1015" s="265"/>
      <c r="G1015" s="107"/>
      <c r="H1015" s="264"/>
      <c r="I1015" s="223"/>
      <c r="J1015" s="148"/>
      <c r="K1015" s="107"/>
      <c r="L1015" s="265"/>
      <c r="M1015" s="182"/>
      <c r="N1015" s="152"/>
      <c r="O1015" s="152"/>
      <c r="P1015" s="152"/>
      <c r="Q1015" s="152"/>
      <c r="R1015" s="152"/>
    </row>
  </sheetData>
  <mergeCells count="32">
    <mergeCell ref="K3:K5"/>
    <mergeCell ref="L3:L5"/>
    <mergeCell ref="M3:M4"/>
    <mergeCell ref="O3:O4"/>
    <mergeCell ref="P3:P4"/>
    <mergeCell ref="Q3:Q4"/>
    <mergeCell ref="R3:R4"/>
    <mergeCell ref="O5:Q5"/>
    <mergeCell ref="B1:R2"/>
    <mergeCell ref="B3:B5"/>
    <mergeCell ref="C3:C5"/>
    <mergeCell ref="D3:D5"/>
    <mergeCell ref="E3:E4"/>
    <mergeCell ref="F3:F5"/>
    <mergeCell ref="G3:G5"/>
    <mergeCell ref="H3:H5"/>
    <mergeCell ref="J3:J5"/>
    <mergeCell ref="C7:C8"/>
    <mergeCell ref="C11:C12"/>
    <mergeCell ref="C15:C17"/>
    <mergeCell ref="C20:C34"/>
    <mergeCell ref="C37:C45"/>
    <mergeCell ref="C193:C197"/>
    <mergeCell ref="C200:C218"/>
    <mergeCell ref="D220:D268"/>
    <mergeCell ref="C48:C53"/>
    <mergeCell ref="C56:C142"/>
    <mergeCell ref="C145:C149"/>
    <mergeCell ref="C152:C154"/>
    <mergeCell ref="C157:C174"/>
    <mergeCell ref="C180:C181"/>
    <mergeCell ref="C186:C190"/>
  </mergeCells>
  <conditionalFormatting sqref="M3:M4">
    <cfRule type="notContainsBlanks" dxfId="0" priority="1">
      <formula>LEN(TRIM(M3))&gt;0</formula>
    </cfRule>
  </conditionalFormatting>
  <drawing r:id="rId1"/>
</worksheet>
</file>