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6fab1a2c283e05/Pulpit/"/>
    </mc:Choice>
  </mc:AlternateContent>
  <xr:revisionPtr revIDLastSave="11" documentId="13_ncr:1_{B1238DE4-1707-4CB0-8117-5A4BF2CFD7FE}" xr6:coauthVersionLast="47" xr6:coauthVersionMax="47" xr10:uidLastSave="{E2DFD60C-ADFD-4E8B-B89D-4C4390D3287C}"/>
  <bookViews>
    <workbookView minimized="1" xWindow="2460" yWindow="960" windowWidth="14000" windowHeight="9800" xr2:uid="{97058313-48ED-4A00-B1C2-065C1EF76553}"/>
  </bookViews>
  <sheets>
    <sheet name="zadanie 1" sheetId="1" r:id="rId1"/>
    <sheet name="zadanie 2 " sheetId="2" r:id="rId2"/>
    <sheet name="zadanie 3 " sheetId="3" r:id="rId3"/>
    <sheet name="Arkusz4" sheetId="4" r:id="rId4"/>
  </sheets>
  <definedNames>
    <definedName name="_xlchart.v1.0" hidden="1">'zadanie 1'!$C$13:$C$24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3" l="1"/>
  <c r="D75" i="4"/>
  <c r="D66" i="4"/>
  <c r="I52" i="4"/>
  <c r="F30" i="4"/>
  <c r="E34" i="1" l="1"/>
  <c r="E12" i="2"/>
  <c r="H51" i="4"/>
  <c r="B30" i="4"/>
  <c r="D68" i="4"/>
  <c r="E10" i="4"/>
  <c r="D50" i="3"/>
  <c r="D37" i="3" l="1"/>
  <c r="D22" i="3"/>
  <c r="D36" i="2"/>
  <c r="E49" i="1"/>
  <c r="I53" i="4"/>
  <c r="I54" i="4"/>
  <c r="I55" i="4"/>
  <c r="I56" i="4"/>
  <c r="I57" i="4"/>
  <c r="I58" i="4"/>
  <c r="I59" i="4"/>
  <c r="I60" i="4"/>
  <c r="I51" i="4"/>
  <c r="I61" i="4"/>
  <c r="H52" i="4"/>
  <c r="H53" i="4"/>
  <c r="H54" i="4"/>
  <c r="H55" i="4"/>
  <c r="H56" i="4"/>
  <c r="H57" i="4"/>
  <c r="H58" i="4"/>
  <c r="H59" i="4"/>
  <c r="H60" i="4"/>
  <c r="F61" i="4"/>
  <c r="E61" i="4"/>
  <c r="F60" i="4"/>
  <c r="E60" i="4"/>
  <c r="G60" i="4" s="1"/>
  <c r="F59" i="4"/>
  <c r="E59" i="4"/>
  <c r="G59" i="4" s="1"/>
  <c r="F58" i="4"/>
  <c r="E58" i="4"/>
  <c r="G58" i="4" s="1"/>
  <c r="F57" i="4"/>
  <c r="E57" i="4"/>
  <c r="G57" i="4" s="1"/>
  <c r="F56" i="4"/>
  <c r="E56" i="4"/>
  <c r="G56" i="4" s="1"/>
  <c r="G55" i="4"/>
  <c r="F55" i="4"/>
  <c r="E55" i="4"/>
  <c r="F54" i="4"/>
  <c r="E54" i="4"/>
  <c r="G54" i="4" s="1"/>
  <c r="F53" i="4"/>
  <c r="E53" i="4"/>
  <c r="G53" i="4" s="1"/>
  <c r="F52" i="4"/>
  <c r="E52" i="4"/>
  <c r="G52" i="4" s="1"/>
  <c r="F51" i="4"/>
  <c r="E51" i="4"/>
  <c r="G51" i="4" s="1"/>
  <c r="C35" i="4" a="1"/>
  <c r="C35" i="4" s="1"/>
  <c r="J34" i="4"/>
  <c r="D52" i="3"/>
  <c r="D43" i="3"/>
  <c r="D42" i="3"/>
  <c r="D41" i="3"/>
  <c r="D40" i="3"/>
  <c r="D32" i="3"/>
  <c r="D30" i="3"/>
  <c r="F14" i="3"/>
  <c r="F15" i="3" s="1"/>
  <c r="F16" i="3" s="1"/>
  <c r="G61" i="4" l="1"/>
  <c r="C37" i="4"/>
  <c r="D39" i="4"/>
  <c r="D41" i="4"/>
  <c r="D40" i="4"/>
  <c r="C36" i="4"/>
  <c r="C41" i="4"/>
  <c r="C40" i="4"/>
  <c r="C39" i="4"/>
  <c r="D38" i="4"/>
  <c r="C38" i="4"/>
  <c r="D37" i="4"/>
  <c r="D36" i="4"/>
  <c r="D35" i="4"/>
  <c r="D30" i="4" l="1"/>
  <c r="E26" i="4"/>
  <c r="E25" i="4"/>
  <c r="F20" i="4"/>
  <c r="F11" i="4"/>
  <c r="F12" i="4"/>
  <c r="F13" i="4"/>
  <c r="F14" i="4"/>
  <c r="F15" i="4"/>
  <c r="F16" i="4"/>
  <c r="F17" i="4"/>
  <c r="F18" i="4"/>
  <c r="F19" i="4"/>
  <c r="F10" i="4"/>
  <c r="E20" i="4"/>
  <c r="E11" i="4"/>
  <c r="E12" i="4"/>
  <c r="E13" i="4"/>
  <c r="E14" i="4"/>
  <c r="E15" i="4"/>
  <c r="E16" i="4"/>
  <c r="E17" i="4"/>
  <c r="E18" i="4"/>
  <c r="E19" i="4"/>
  <c r="D20" i="4"/>
  <c r="D11" i="4"/>
  <c r="D12" i="4"/>
  <c r="D13" i="4"/>
  <c r="D14" i="4"/>
  <c r="D15" i="4"/>
  <c r="D16" i="4"/>
  <c r="D17" i="4"/>
  <c r="D18" i="4"/>
  <c r="D19" i="4"/>
  <c r="D10" i="4"/>
  <c r="C23" i="4"/>
  <c r="C22" i="4"/>
  <c r="D49" i="3"/>
  <c r="I17" i="3"/>
  <c r="I13" i="3"/>
  <c r="I14" i="3"/>
  <c r="I15" i="3"/>
  <c r="I16" i="3"/>
  <c r="I12" i="3"/>
  <c r="H12" i="3"/>
  <c r="D31" i="3"/>
  <c r="D27" i="3"/>
  <c r="D29" i="3"/>
  <c r="D26" i="3"/>
  <c r="F12" i="3"/>
  <c r="C17" i="3"/>
  <c r="E13" i="3"/>
  <c r="E14" i="3"/>
  <c r="E15" i="3"/>
  <c r="E16" i="3"/>
  <c r="E12" i="3"/>
  <c r="E17" i="3" s="1"/>
  <c r="D55" i="2"/>
  <c r="D51" i="2"/>
  <c r="D50" i="2"/>
  <c r="I16" i="2"/>
  <c r="I12" i="2"/>
  <c r="I13" i="2"/>
  <c r="I14" i="2"/>
  <c r="I15" i="2"/>
  <c r="I11" i="2"/>
  <c r="G11" i="2"/>
  <c r="D45" i="2"/>
  <c r="D44" i="2"/>
  <c r="D43" i="2"/>
  <c r="D42" i="2"/>
  <c r="D41" i="2"/>
  <c r="D37" i="2"/>
  <c r="G16" i="2"/>
  <c r="G12" i="2"/>
  <c r="G13" i="2"/>
  <c r="G14" i="2"/>
  <c r="G15" i="2"/>
  <c r="D29" i="2"/>
  <c r="D27" i="2"/>
  <c r="E11" i="2"/>
  <c r="D28" i="3" l="1"/>
  <c r="E13" i="2"/>
  <c r="E14" i="2" s="1"/>
  <c r="E15" i="2" s="1"/>
  <c r="D25" i="2"/>
  <c r="D12" i="2"/>
  <c r="D13" i="2"/>
  <c r="D14" i="2"/>
  <c r="D15" i="2"/>
  <c r="D11" i="2"/>
  <c r="D16" i="2" s="1"/>
  <c r="D21" i="2" s="1"/>
  <c r="H13" i="3" l="1"/>
  <c r="H14" i="3"/>
  <c r="H15" i="3"/>
  <c r="H16" i="3"/>
  <c r="H17" i="3"/>
  <c r="D38" i="3" s="1"/>
  <c r="E16" i="2"/>
  <c r="E61" i="1" l="1"/>
  <c r="E57" i="1"/>
  <c r="E56" i="1"/>
  <c r="F25" i="1"/>
  <c r="F14" i="1"/>
  <c r="F15" i="1"/>
  <c r="F16" i="1"/>
  <c r="F17" i="1"/>
  <c r="F18" i="1"/>
  <c r="F19" i="1"/>
  <c r="F20" i="1"/>
  <c r="F21" i="1"/>
  <c r="F22" i="1"/>
  <c r="F23" i="1"/>
  <c r="F24" i="1"/>
  <c r="F13" i="1"/>
  <c r="D13" i="1"/>
  <c r="E51" i="1"/>
  <c r="E50" i="1"/>
  <c r="E48" i="1"/>
  <c r="E47" i="1"/>
  <c r="E43" i="1"/>
  <c r="E42" i="1"/>
  <c r="D19" i="1"/>
  <c r="D25" i="1"/>
  <c r="D14" i="1"/>
  <c r="D15" i="1"/>
  <c r="D16" i="1"/>
  <c r="D17" i="1"/>
  <c r="D18" i="1"/>
  <c r="D20" i="1"/>
  <c r="D21" i="1"/>
  <c r="D22" i="1"/>
  <c r="D23" i="1"/>
  <c r="D24" i="1"/>
  <c r="C25" i="1"/>
  <c r="E36" i="1"/>
  <c r="E35" i="1"/>
  <c r="E30" i="1"/>
</calcChain>
</file>

<file path=xl/sharedStrings.xml><?xml version="1.0" encoding="utf-8"?>
<sst xmlns="http://schemas.openxmlformats.org/spreadsheetml/2006/main" count="233" uniqueCount="182">
  <si>
    <t xml:space="preserve">Jednostka badania </t>
  </si>
  <si>
    <t>Cechy stałe</t>
  </si>
  <si>
    <t>rzeczowa</t>
  </si>
  <si>
    <t>czasowa</t>
  </si>
  <si>
    <t>przestrzenna</t>
  </si>
  <si>
    <t xml:space="preserve">losowo wybrany użytkownik </t>
  </si>
  <si>
    <t>20 września 2021</t>
  </si>
  <si>
    <t>portal chomikuj</t>
  </si>
  <si>
    <t xml:space="preserve">Cecha zmienna </t>
  </si>
  <si>
    <t>cecha ilościowa skokowa - liczba pobrań plików na minutę</t>
  </si>
  <si>
    <t xml:space="preserve">Poziom przeciętny - miary położenia </t>
  </si>
  <si>
    <t xml:space="preserve">Klasyczne </t>
  </si>
  <si>
    <t xml:space="preserve">Średnia arytmetyczna </t>
  </si>
  <si>
    <t>Pozycyjne</t>
  </si>
  <si>
    <t xml:space="preserve">kwartyl pierwszy </t>
  </si>
  <si>
    <t>mediana</t>
  </si>
  <si>
    <t xml:space="preserve">kwartyl trzeci </t>
  </si>
  <si>
    <t>Dominanta</t>
  </si>
  <si>
    <t>losowo wybrany użytkownik portalu chomikuj.pl pobrał średnio około 61 plików na minutę</t>
  </si>
  <si>
    <t>dnia 20 września 2021 roku 25% losowych użytkowników portalu chomikuj posiadało co najwyżej 26 plików a 75% co najmniej 26</t>
  </si>
  <si>
    <t>dnia 20 września 2021 roku 50% losowych użytkowników portalu chomikuj posiadało co najwyżej 55 plików a drugie 50% co najmniej 55</t>
  </si>
  <si>
    <t>dnia 20 września 2021 roku 75% losowych użytkowników portalu chomikuj posiadało co najwyżej 82,5 plików a 25% co najmniej 82,5</t>
  </si>
  <si>
    <t xml:space="preserve">Wśród całej populacji najczęstrzą liczbą pobrań plików na minutę było 20 </t>
  </si>
  <si>
    <t xml:space="preserve">Miary Dyspersji </t>
  </si>
  <si>
    <t>Klasyczne</t>
  </si>
  <si>
    <t xml:space="preserve">wariancja </t>
  </si>
  <si>
    <t>suma</t>
  </si>
  <si>
    <t>(xi-średnia)^2</t>
  </si>
  <si>
    <t xml:space="preserve">Odchylenie standardowe </t>
  </si>
  <si>
    <t>Liczba pobrań na minutę odchyla się od średniej o około 41 plików na min</t>
  </si>
  <si>
    <t>Rozstęp</t>
  </si>
  <si>
    <t xml:space="preserve">różnica między max liczbą pobrań a min to 140 </t>
  </si>
  <si>
    <t xml:space="preserve">Odchylenie ćwiartkowe </t>
  </si>
  <si>
    <t>Połowa zmienności 50% środkowych, losowo wybranych użytkowników wynosi około 28</t>
  </si>
  <si>
    <t>Rozstęp (Q)</t>
  </si>
  <si>
    <t>Różnica między dolną a górną granicą 50% środkowych ,losowych użytkowników … wynosi około 57</t>
  </si>
  <si>
    <t xml:space="preserve">Rozkład liczby pobrań plików 50 % środkowych losowo wybranych użytkowników charakteryzuje się umiarkowanym rozproszeeniem </t>
  </si>
  <si>
    <t>współczynnik zmienności  (Q)</t>
  </si>
  <si>
    <t xml:space="preserve">współczynnik zmienności  </t>
  </si>
  <si>
    <t xml:space="preserve">rozkład liczby pobrań plików na minutę charakteryzuje się silnym rozproszeniem </t>
  </si>
  <si>
    <t xml:space="preserve">Miary asymetrii </t>
  </si>
  <si>
    <t>Moment trzeci centralny absol.</t>
  </si>
  <si>
    <t>(xi-średnia)^3</t>
  </si>
  <si>
    <t>Rozkład liczby pobrań plików na minutę charakteryzuje się dodatnią asymetrią</t>
  </si>
  <si>
    <t>Moment trzeci centralny wzgl.</t>
  </si>
  <si>
    <t>Rozkład liczby pobrań plików na minutę charakteryzuje się dodatnią asymetrią umiatkowaną dodatnią</t>
  </si>
  <si>
    <t xml:space="preserve">Pozycyjne </t>
  </si>
  <si>
    <t xml:space="preserve">współczynnik skośności </t>
  </si>
  <si>
    <t xml:space="preserve">Rozkład liczby pobrań plików 50 % środkowych , losowych użytkowników charakteryzuje się niewielką ujemną asymetrią </t>
  </si>
  <si>
    <t xml:space="preserve">Liczba resetów serweru </t>
  </si>
  <si>
    <t>Liczba serwerów</t>
  </si>
  <si>
    <t>Razem</t>
  </si>
  <si>
    <t>serwer</t>
  </si>
  <si>
    <t xml:space="preserve">Cechy stałe </t>
  </si>
  <si>
    <t xml:space="preserve">przestrzenna </t>
  </si>
  <si>
    <t>serwerownia firmy</t>
  </si>
  <si>
    <t>2020 r</t>
  </si>
  <si>
    <t xml:space="preserve">reset serwerów - ilościowa skokowa </t>
  </si>
  <si>
    <t xml:space="preserve">Poziom przeciętny </t>
  </si>
  <si>
    <t>(xi*ni)</t>
  </si>
  <si>
    <t xml:space="preserve">średnia </t>
  </si>
  <si>
    <t>Średnio serwery resetowały się około 2 razy</t>
  </si>
  <si>
    <t>Q1</t>
  </si>
  <si>
    <t>Mediana</t>
  </si>
  <si>
    <t>Q3</t>
  </si>
  <si>
    <t xml:space="preserve">Jest to szereg rozdzielczy punktowy </t>
  </si>
  <si>
    <t>ni</t>
  </si>
  <si>
    <t>xi</t>
  </si>
  <si>
    <t xml:space="preserve"> poz Q1</t>
  </si>
  <si>
    <t>nsk</t>
  </si>
  <si>
    <t xml:space="preserve">przedziały </t>
  </si>
  <si>
    <t>0-10</t>
  </si>
  <si>
    <t>11---30</t>
  </si>
  <si>
    <t>31-180</t>
  </si>
  <si>
    <t>181-195</t>
  </si>
  <si>
    <t>196-200</t>
  </si>
  <si>
    <t xml:space="preserve">Występującą najczęściej liczbą resetów serwerów było 2 </t>
  </si>
  <si>
    <t>25% serwerów ma conajwyżej 2 resety a 75% co najmniej 2 resety</t>
  </si>
  <si>
    <t>Miary dyspersji</t>
  </si>
  <si>
    <t>(xi-średnia)^2 *ni</t>
  </si>
  <si>
    <t>średnie odchylenie od średniej resetów wynosi około 0,7</t>
  </si>
  <si>
    <t>Różnica między max a min</t>
  </si>
  <si>
    <t>R(Q)</t>
  </si>
  <si>
    <t>Różnica między dolną a górną granicą 50 % środkowych zmiennych wynosi 0</t>
  </si>
  <si>
    <t>Odchylenie ćwiartkowe</t>
  </si>
  <si>
    <t xml:space="preserve">Połowa zmienności 50 % środkowych zmiennych wynosi 0 </t>
  </si>
  <si>
    <t xml:space="preserve">Współczynnik zmienności </t>
  </si>
  <si>
    <t>Współczynnik zmienności (Q)</t>
  </si>
  <si>
    <t>Rozkład resetów serwerów charakteryzuje się małym rozproszeniem</t>
  </si>
  <si>
    <t>Rozkład 50% środkowych  resetów serwerów charakteryzuje się zerowym rozproszeniem</t>
  </si>
  <si>
    <t>Miary asymetrii</t>
  </si>
  <si>
    <t>Moment 3 centralny absolutny</t>
  </si>
  <si>
    <t>(xi-średnia)^3 *ni</t>
  </si>
  <si>
    <t>Rozkład charakteryzuje się ujemną asymetrią</t>
  </si>
  <si>
    <t>Moment 3 centralny względny</t>
  </si>
  <si>
    <t>asymetria mała ujemna</t>
  </si>
  <si>
    <t xml:space="preserve">Jednostka Badania </t>
  </si>
  <si>
    <t xml:space="preserve">Stałe cechy </t>
  </si>
  <si>
    <t>Czas obliczania algorytmu w min</t>
  </si>
  <si>
    <t>Liczba algorytmów</t>
  </si>
  <si>
    <t>0 - 10</t>
  </si>
  <si>
    <t>10 --20</t>
  </si>
  <si>
    <t>20 - 30</t>
  </si>
  <si>
    <t>30 - 40</t>
  </si>
  <si>
    <t>40 - 50</t>
  </si>
  <si>
    <t>procesory</t>
  </si>
  <si>
    <t>procesor</t>
  </si>
  <si>
    <t>przedsiębiorstwo</t>
  </si>
  <si>
    <t>5 lipca 2021</t>
  </si>
  <si>
    <t>ilościowa ciągła - czas obl algorytmów</t>
  </si>
  <si>
    <t>Środek przedziału</t>
  </si>
  <si>
    <t xml:space="preserve">X z kółkiem </t>
  </si>
  <si>
    <t>Poziom Przeciętny</t>
  </si>
  <si>
    <t xml:space="preserve">Średnia </t>
  </si>
  <si>
    <t>śr.przed* ni</t>
  </si>
  <si>
    <t>poz. Q1</t>
  </si>
  <si>
    <t>przedział nsk</t>
  </si>
  <si>
    <t>0-5</t>
  </si>
  <si>
    <t>6--55</t>
  </si>
  <si>
    <t>56-150</t>
  </si>
  <si>
    <t>151-250</t>
  </si>
  <si>
    <t>251--225</t>
  </si>
  <si>
    <t>xi0</t>
  </si>
  <si>
    <t>dolna granica przedzialu</t>
  </si>
  <si>
    <t>ni0</t>
  </si>
  <si>
    <t>liczebnosc klasy w ktorej znajduje się dominanta</t>
  </si>
  <si>
    <t>ni0 -1</t>
  </si>
  <si>
    <t>liczebnosc klasy poprzedzajacej klase w ktorej jest dominanta</t>
  </si>
  <si>
    <t>ci0</t>
  </si>
  <si>
    <t>rozpietosc przedzialu w kalsie gdzie jest dominanta</t>
  </si>
  <si>
    <t>nsk-1</t>
  </si>
  <si>
    <t>wartosc skumulowana dla poprzedniego rzedu(przedzialu)</t>
  </si>
  <si>
    <t>Najczęściej powtarzającą się wartością jest około 32</t>
  </si>
  <si>
    <t>poz. Q2</t>
  </si>
  <si>
    <t>Q2</t>
  </si>
  <si>
    <t>poz. Q3</t>
  </si>
  <si>
    <t>Wariancja</t>
  </si>
  <si>
    <t>x-sr ^2</t>
  </si>
  <si>
    <t>Odchylenie standardowe</t>
  </si>
  <si>
    <t>odchyleniećwiartkowe</t>
  </si>
  <si>
    <t xml:space="preserve">współ. Zmienności </t>
  </si>
  <si>
    <t>mom. 3 absolutny</t>
  </si>
  <si>
    <t>Ilość rdzeni</t>
  </si>
  <si>
    <t>Ilość ram</t>
  </si>
  <si>
    <t>x</t>
  </si>
  <si>
    <t>y</t>
  </si>
  <si>
    <t>średnia x</t>
  </si>
  <si>
    <t xml:space="preserve">średnia y </t>
  </si>
  <si>
    <t>xi-xśr.</t>
  </si>
  <si>
    <t>yi-yśr.</t>
  </si>
  <si>
    <t>D*E</t>
  </si>
  <si>
    <t>Odchylenie standardowe x</t>
  </si>
  <si>
    <t>Odchylenie standardowe y</t>
  </si>
  <si>
    <t>Pearson</t>
  </si>
  <si>
    <t>Kowariancja</t>
  </si>
  <si>
    <t>Korelacja jest silna i dodatnia jak x rośnie to y rośnie</t>
  </si>
  <si>
    <r>
      <t>a)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Calibri"/>
        <family val="2"/>
        <charset val="238"/>
        <scheme val="minor"/>
      </rPr>
      <t>Oblicz parametry funkcji regresji opisującej wpływ ilości rdzeni procesora (xi) na ilość pamięci RAM (yi) w wybranych gospodarstwach domowych.</t>
    </r>
  </si>
  <si>
    <t>Q1 ,Q2</t>
  </si>
  <si>
    <t xml:space="preserve">Współczynnik determinacji </t>
  </si>
  <si>
    <t>R^2</t>
  </si>
  <si>
    <t xml:space="preserve">Współczynnik indeterminacji </t>
  </si>
  <si>
    <t xml:space="preserve">59% zmienności ilości pamięci RAM jest wyjaśnionych przez wykres </t>
  </si>
  <si>
    <t xml:space="preserve">41% zmienności pamięci ram nie jest wyjaśnionych </t>
  </si>
  <si>
    <t>a</t>
  </si>
  <si>
    <t>b</t>
  </si>
  <si>
    <t>SSE</t>
  </si>
  <si>
    <r>
      <t>a)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Calibri"/>
        <family val="2"/>
        <charset val="238"/>
        <scheme val="minor"/>
      </rPr>
      <t xml:space="preserve">Oceń dopasowanie funkcji regresji do danych empirycznych za pomocą wariancji resztowej oraz odchylenia składnika resztowego </t>
    </r>
  </si>
  <si>
    <t>prognoza</t>
  </si>
  <si>
    <t>Suma błędów resztowych</t>
  </si>
  <si>
    <t>(yi - prognoza(^2</t>
  </si>
  <si>
    <t>typologiczne do skal nominalne i porzadkowe</t>
  </si>
  <si>
    <t>wariancyjne gdy interwałowe i i lorazowe</t>
  </si>
  <si>
    <t>Wariancja resztowa</t>
  </si>
  <si>
    <t xml:space="preserve">Suma błędów resztowych </t>
  </si>
  <si>
    <t xml:space="preserve">Odchylenie standardowe składnika resztowego </t>
  </si>
  <si>
    <r>
      <t>a)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Calibri"/>
        <family val="2"/>
        <charset val="238"/>
        <scheme val="minor"/>
      </rPr>
      <t>Oceń natężenie wahań przypadkowych za pomocą współczynnika zmienności przypadkowej</t>
    </r>
  </si>
  <si>
    <t>Współczynnik zmienności przypadkowej</t>
  </si>
  <si>
    <t xml:space="preserve">determinacji </t>
  </si>
  <si>
    <t xml:space="preserve">Im niższy tym lepszy </t>
  </si>
  <si>
    <t>;.</t>
  </si>
  <si>
    <t>&lt;-2;2&gt;</t>
  </si>
  <si>
    <t>od prognoz, wartości odchylają się o około 5,9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</si>
</sst>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7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2" borderId="0" xfId="0" applyFill="1"/>
    <xf numFmtId="0" fontId="3" fillId="2" borderId="0" xfId="0" applyFont="1" applyFill="1"/>
    <xf numFmtId="0" fontId="1" fillId="2" borderId="0" xfId="0" applyFont="1" applyFill="1"/>
    <xf numFmtId="0" fontId="4" fillId="2" borderId="0" xfId="0" applyFont="1" applyFill="1"/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17" fontId="0" fillId="0" borderId="0" xfId="0" applyNumberFormat="1"/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  <xf numFmtId="0" fontId="0" fillId="2" borderId="1" xfId="0" applyFill="1" applyBorder="1"/>
    <xf numFmtId="0" fontId="0" fillId="2" borderId="0" xfId="0" applyFill="1" applyAlignment="1">
      <alignment horizontal="right"/>
    </xf>
    <xf numFmtId="0" fontId="0" fillId="2" borderId="0" xfId="0" applyFill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horizontal="right"/>
    </xf>
    <xf numFmtId="0" fontId="7" fillId="3" borderId="0" xfId="0" applyFont="1" applyFill="1" applyAlignment="1">
      <alignment horizontal="left" vertical="top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7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'zadanie 2 '!$B$11:$B$15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'zadanie 2 '!$C$11:$C$15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150</c:v>
                </c:pt>
                <c:pt idx="3">
                  <c:v>15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69-4505-97D4-9E1CC824E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885231"/>
        <c:axId val="529881903"/>
      </c:barChart>
      <c:catAx>
        <c:axId val="529885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9881903"/>
        <c:crosses val="autoZero"/>
        <c:auto val="1"/>
        <c:lblAlgn val="ctr"/>
        <c:lblOffset val="100"/>
        <c:noMultiLvlLbl val="0"/>
      </c:catAx>
      <c:valAx>
        <c:axId val="52988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9885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korelacyjny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2.9921259842519685E-4"/>
                  <c:y val="-8.30008748906387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Arkusz4!$B$10:$B$19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</c:numCache>
            </c:numRef>
          </c:xVal>
          <c:yVal>
            <c:numRef>
              <c:f>Arkusz4!$C$10:$C$19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8</c:v>
                </c:pt>
                <c:pt idx="3">
                  <c:v>16</c:v>
                </c:pt>
                <c:pt idx="4">
                  <c:v>4</c:v>
                </c:pt>
                <c:pt idx="5">
                  <c:v>2</c:v>
                </c:pt>
                <c:pt idx="6">
                  <c:v>8</c:v>
                </c:pt>
                <c:pt idx="7">
                  <c:v>16</c:v>
                </c:pt>
                <c:pt idx="8">
                  <c:v>12</c:v>
                </c:pt>
                <c:pt idx="9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C9-45CF-AF91-63B5FB14D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9762767"/>
        <c:axId val="1239758607"/>
      </c:scatterChart>
      <c:valAx>
        <c:axId val="1239762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39758607"/>
        <c:crosses val="autoZero"/>
        <c:crossBetween val="midCat"/>
      </c:valAx>
      <c:valAx>
        <c:axId val="123975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39762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ilość pobranych plików przez losowego użytkownika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ilość pobranych plików przez losowego użytkownika</a:t>
          </a:r>
        </a:p>
      </cx:txPr>
    </cx:title>
    <cx:plotArea>
      <cx:plotAreaRegion>
        <cx:series layoutId="boxWhisker" uniqueId="{7BA9866A-D9A0-4CAA-A772-26B9172C8DF6}">
          <cx:dataLabels>
            <cx:spPr>
              <a:solidFill>
                <a:schemeClr val="bg1"/>
              </a:solidFill>
              <a:ln>
                <a:solidFill>
                  <a:schemeClr val="tx1"/>
                </a:solidFill>
              </a:ln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>
                        <a:lumMod val="95000"/>
                        <a:lumOff val="5000"/>
                      </a:schemeClr>
                    </a:solidFill>
                  </a:defRPr>
                </a:pPr>
                <a:endParaRPr lang="pl-PL" sz="900" b="0" i="0" u="none" strike="noStrike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Calibri" panose="020F0502020204030204"/>
                </a:endParaRPr>
              </a:p>
            </cx:txPr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307975</xdr:colOff>
      <xdr:row>11</xdr:row>
      <xdr:rowOff>38100</xdr:rowOff>
    </xdr:from>
    <xdr:to>
      <xdr:col>16</xdr:col>
      <xdr:colOff>3175</xdr:colOff>
      <xdr:row>26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Wykres 1">
              <a:extLst>
                <a:ext uri="{FF2B5EF4-FFF2-40B4-BE49-F238E27FC236}">
                  <a16:creationId xmlns:a16="http://schemas.microsoft.com/office/drawing/2014/main" id="{CDCDAED9-B97F-26E8-FE0B-5D48222376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84775" y="2063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238125</xdr:colOff>
      <xdr:row>3</xdr:row>
      <xdr:rowOff>12700</xdr:rowOff>
    </xdr:from>
    <xdr:to>
      <xdr:col>18</xdr:col>
      <xdr:colOff>542925</xdr:colOff>
      <xdr:row>16</xdr:row>
      <xdr:rowOff>177800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C6A8CC1-566D-4FBD-EB6D-99F431E91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25214</xdr:colOff>
      <xdr:row>7</xdr:row>
      <xdr:rowOff>24467</xdr:rowOff>
    </xdr:from>
    <xdr:to>
      <xdr:col>15</xdr:col>
      <xdr:colOff>348317</xdr:colOff>
      <xdr:row>23</xdr:row>
      <xdr:rowOff>56030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287FFE3-6DD7-794F-BE1D-D4EEF18F2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787B-CEB5-453E-B2C2-9FCABAEBC3C1}">
  <dimension ref="A4:S61"/>
  <sheetViews>
    <sheetView tabSelected="1" topLeftCell="A38" zoomScale="81" workbookViewId="0">
      <selection activeCell="G59" sqref="G59"/>
    </sheetView>
  </sheetViews>
  <sheetFormatPr defaultRowHeight="14.5" x14ac:dyDescent="0.35"/>
  <sheetData>
    <row r="4" spans="1:19" x14ac:dyDescent="0.35">
      <c r="A4" s="1" t="s">
        <v>0</v>
      </c>
      <c r="C4" t="s">
        <v>5</v>
      </c>
      <c r="S4" t="s">
        <v>170</v>
      </c>
    </row>
    <row r="5" spans="1:19" x14ac:dyDescent="0.35">
      <c r="A5" s="1"/>
      <c r="S5" t="s">
        <v>171</v>
      </c>
    </row>
    <row r="6" spans="1:19" x14ac:dyDescent="0.35">
      <c r="A6" s="1" t="s">
        <v>1</v>
      </c>
      <c r="C6" t="s">
        <v>2</v>
      </c>
      <c r="E6" t="s">
        <v>5</v>
      </c>
    </row>
    <row r="7" spans="1:19" x14ac:dyDescent="0.35">
      <c r="C7" t="s">
        <v>3</v>
      </c>
      <c r="E7" t="s">
        <v>6</v>
      </c>
    </row>
    <row r="8" spans="1:19" x14ac:dyDescent="0.35">
      <c r="C8" t="s">
        <v>4</v>
      </c>
      <c r="E8" t="s">
        <v>7</v>
      </c>
    </row>
    <row r="10" spans="1:19" x14ac:dyDescent="0.35">
      <c r="A10" s="1" t="s">
        <v>8</v>
      </c>
      <c r="C10" t="s">
        <v>9</v>
      </c>
    </row>
    <row r="12" spans="1:19" x14ac:dyDescent="0.35">
      <c r="D12" t="s">
        <v>27</v>
      </c>
      <c r="F12" t="s">
        <v>42</v>
      </c>
    </row>
    <row r="13" spans="1:19" x14ac:dyDescent="0.35">
      <c r="C13" s="2">
        <v>10</v>
      </c>
      <c r="D13" s="7">
        <f>(C13-$E$30)^2</f>
        <v>2635.1111111111113</v>
      </c>
      <c r="F13">
        <f>(C13-$E$30)^3</f>
        <v>-135269.03703703705</v>
      </c>
    </row>
    <row r="14" spans="1:19" x14ac:dyDescent="0.35">
      <c r="C14" s="2">
        <v>20</v>
      </c>
      <c r="D14" s="7">
        <f t="shared" ref="D14:D24" si="0">(C14-$E$30)^2</f>
        <v>1708.4444444444446</v>
      </c>
      <c r="F14">
        <f t="shared" ref="F14:F24" si="1">(C14-$E$30)^3</f>
        <v>-70615.703703703708</v>
      </c>
    </row>
    <row r="15" spans="1:19" x14ac:dyDescent="0.35">
      <c r="C15" s="2">
        <v>20</v>
      </c>
      <c r="D15" s="7">
        <f t="shared" si="0"/>
        <v>1708.4444444444446</v>
      </c>
      <c r="F15">
        <f t="shared" si="1"/>
        <v>-70615.703703703708</v>
      </c>
    </row>
    <row r="16" spans="1:19" x14ac:dyDescent="0.35">
      <c r="C16" s="2">
        <v>28</v>
      </c>
      <c r="D16" s="7">
        <f t="shared" si="0"/>
        <v>1111.1111111111113</v>
      </c>
      <c r="F16">
        <f t="shared" si="1"/>
        <v>-37037.037037037044</v>
      </c>
    </row>
    <row r="17" spans="2:7" x14ac:dyDescent="0.35">
      <c r="C17" s="2">
        <v>40</v>
      </c>
      <c r="D17" s="7">
        <f t="shared" si="0"/>
        <v>455.1111111111112</v>
      </c>
      <c r="F17">
        <f t="shared" si="1"/>
        <v>-9709.0370370370401</v>
      </c>
    </row>
    <row r="18" spans="2:7" x14ac:dyDescent="0.35">
      <c r="C18" s="2">
        <v>50</v>
      </c>
      <c r="D18" s="7">
        <f t="shared" si="0"/>
        <v>128.44444444444449</v>
      </c>
      <c r="F18">
        <f t="shared" si="1"/>
        <v>-1455.7037037037044</v>
      </c>
    </row>
    <row r="19" spans="2:7" x14ac:dyDescent="0.35">
      <c r="C19" s="2">
        <v>60</v>
      </c>
      <c r="D19" s="7">
        <f>(C19-$E$30)^2</f>
        <v>1.7777777777777841</v>
      </c>
      <c r="F19">
        <f t="shared" si="1"/>
        <v>-2.3703703703703831</v>
      </c>
    </row>
    <row r="20" spans="2:7" x14ac:dyDescent="0.35">
      <c r="C20" s="2">
        <v>68</v>
      </c>
      <c r="D20" s="7">
        <f t="shared" si="0"/>
        <v>44.444444444444414</v>
      </c>
      <c r="F20">
        <f t="shared" si="1"/>
        <v>296.29629629629596</v>
      </c>
    </row>
    <row r="21" spans="2:7" x14ac:dyDescent="0.35">
      <c r="C21" s="2">
        <v>80</v>
      </c>
      <c r="D21" s="7">
        <f t="shared" si="0"/>
        <v>348.44444444444434</v>
      </c>
      <c r="F21">
        <f t="shared" si="1"/>
        <v>6504.2962962962938</v>
      </c>
    </row>
    <row r="22" spans="2:7" x14ac:dyDescent="0.35">
      <c r="C22" s="2">
        <v>90</v>
      </c>
      <c r="D22" s="7">
        <f t="shared" si="0"/>
        <v>821.7777777777776</v>
      </c>
      <c r="F22">
        <f t="shared" si="1"/>
        <v>23557.629629629624</v>
      </c>
    </row>
    <row r="23" spans="2:7" x14ac:dyDescent="0.35">
      <c r="C23" s="2">
        <v>120</v>
      </c>
      <c r="D23" s="7">
        <f t="shared" si="0"/>
        <v>3441.7777777777774</v>
      </c>
      <c r="F23">
        <f t="shared" si="1"/>
        <v>201917.62962962961</v>
      </c>
    </row>
    <row r="24" spans="2:7" x14ac:dyDescent="0.35">
      <c r="C24" s="2">
        <v>150</v>
      </c>
      <c r="D24" s="7">
        <f t="shared" si="0"/>
        <v>7861.7777777777765</v>
      </c>
      <c r="F24">
        <f t="shared" si="1"/>
        <v>697077.62962962943</v>
      </c>
    </row>
    <row r="25" spans="2:7" x14ac:dyDescent="0.35">
      <c r="B25" t="s">
        <v>26</v>
      </c>
      <c r="C25">
        <f>SUM(C13:C24)</f>
        <v>736</v>
      </c>
      <c r="D25">
        <f>SUM(D13:D24)</f>
        <v>20266.666666666664</v>
      </c>
      <c r="F25">
        <f>SUM(F13:F24)</f>
        <v>604648.88888888853</v>
      </c>
    </row>
    <row r="27" spans="2:7" x14ac:dyDescent="0.35">
      <c r="B27" s="6" t="s">
        <v>10</v>
      </c>
      <c r="C27" s="4"/>
      <c r="D27" s="4"/>
      <c r="E27" s="4"/>
    </row>
    <row r="28" spans="2:7" x14ac:dyDescent="0.35">
      <c r="B28" s="1" t="s">
        <v>11</v>
      </c>
    </row>
    <row r="30" spans="2:7" x14ac:dyDescent="0.35">
      <c r="B30" t="s">
        <v>12</v>
      </c>
      <c r="E30">
        <f>AVERAGE(C13:C24)</f>
        <v>61.333333333333336</v>
      </c>
      <c r="G30" t="s">
        <v>18</v>
      </c>
    </row>
    <row r="32" spans="2:7" x14ac:dyDescent="0.35">
      <c r="B32" s="1" t="s">
        <v>13</v>
      </c>
    </row>
    <row r="34" spans="2:7" x14ac:dyDescent="0.35">
      <c r="B34" t="s">
        <v>14</v>
      </c>
      <c r="E34">
        <f>_xlfn.QUARTILE.INC(C13:C24,1)</f>
        <v>26</v>
      </c>
      <c r="G34" t="s">
        <v>19</v>
      </c>
    </row>
    <row r="35" spans="2:7" x14ac:dyDescent="0.35">
      <c r="B35" t="s">
        <v>15</v>
      </c>
      <c r="E35">
        <f>_xlfn.QUARTILE.INC(C13:C24,2)</f>
        <v>55</v>
      </c>
      <c r="G35" t="s">
        <v>20</v>
      </c>
    </row>
    <row r="36" spans="2:7" x14ac:dyDescent="0.35">
      <c r="B36" t="s">
        <v>16</v>
      </c>
      <c r="E36">
        <f>_xlfn.QUARTILE.INC(C13:C24,3)</f>
        <v>82.5</v>
      </c>
      <c r="G36" t="s">
        <v>21</v>
      </c>
    </row>
    <row r="37" spans="2:7" x14ac:dyDescent="0.35">
      <c r="B37" t="s">
        <v>17</v>
      </c>
      <c r="E37" t="s">
        <v>179</v>
      </c>
      <c r="G37" t="s">
        <v>22</v>
      </c>
    </row>
    <row r="39" spans="2:7" x14ac:dyDescent="0.35">
      <c r="B39" s="5" t="s">
        <v>23</v>
      </c>
      <c r="C39" s="5"/>
    </row>
    <row r="40" spans="2:7" x14ac:dyDescent="0.35">
      <c r="B40" s="1" t="s">
        <v>24</v>
      </c>
    </row>
    <row r="42" spans="2:7" x14ac:dyDescent="0.35">
      <c r="B42" t="s">
        <v>25</v>
      </c>
      <c r="E42">
        <f>D25/12</f>
        <v>1688.8888888888887</v>
      </c>
    </row>
    <row r="43" spans="2:7" x14ac:dyDescent="0.35">
      <c r="B43" t="s">
        <v>28</v>
      </c>
      <c r="E43">
        <f>SQRT(E42)</f>
        <v>41.096093353126506</v>
      </c>
      <c r="G43" t="s">
        <v>29</v>
      </c>
    </row>
    <row r="45" spans="2:7" x14ac:dyDescent="0.35">
      <c r="B45" s="1" t="s">
        <v>13</v>
      </c>
    </row>
    <row r="47" spans="2:7" x14ac:dyDescent="0.35">
      <c r="B47" t="s">
        <v>30</v>
      </c>
      <c r="E47">
        <f>MAX(C13:C24)-MIN(C13:C24)</f>
        <v>140</v>
      </c>
      <c r="G47" t="s">
        <v>31</v>
      </c>
    </row>
    <row r="48" spans="2:7" x14ac:dyDescent="0.35">
      <c r="B48" t="s">
        <v>32</v>
      </c>
      <c r="E48">
        <f>(E36-E34)/2</f>
        <v>28.25</v>
      </c>
      <c r="G48" t="s">
        <v>33</v>
      </c>
    </row>
    <row r="49" spans="2:7" x14ac:dyDescent="0.35">
      <c r="B49" t="s">
        <v>34</v>
      </c>
      <c r="E49">
        <f>E36-E34</f>
        <v>56.5</v>
      </c>
      <c r="G49" t="s">
        <v>35</v>
      </c>
    </row>
    <row r="50" spans="2:7" x14ac:dyDescent="0.35">
      <c r="B50" t="s">
        <v>37</v>
      </c>
      <c r="E50">
        <f>(E48/E35)*100</f>
        <v>51.363636363636367</v>
      </c>
      <c r="G50" t="s">
        <v>36</v>
      </c>
    </row>
    <row r="51" spans="2:7" x14ac:dyDescent="0.35">
      <c r="B51" t="s">
        <v>38</v>
      </c>
      <c r="E51">
        <f>(E43/E30)*100</f>
        <v>67.00450003227148</v>
      </c>
      <c r="G51" t="s">
        <v>39</v>
      </c>
    </row>
    <row r="53" spans="2:7" x14ac:dyDescent="0.35">
      <c r="B53" s="5" t="s">
        <v>40</v>
      </c>
      <c r="C53" s="3"/>
    </row>
    <row r="54" spans="2:7" x14ac:dyDescent="0.35">
      <c r="B54" s="1" t="s">
        <v>11</v>
      </c>
    </row>
    <row r="56" spans="2:7" x14ac:dyDescent="0.35">
      <c r="B56" t="s">
        <v>41</v>
      </c>
      <c r="E56">
        <f>F25/12</f>
        <v>50387.40740740738</v>
      </c>
      <c r="G56" t="s">
        <v>43</v>
      </c>
    </row>
    <row r="57" spans="2:7" x14ac:dyDescent="0.35">
      <c r="B57" t="s">
        <v>44</v>
      </c>
      <c r="E57">
        <f>E56/(E43)^3</f>
        <v>0.72597287694591173</v>
      </c>
      <c r="G57" t="s">
        <v>45</v>
      </c>
    </row>
    <row r="58" spans="2:7" x14ac:dyDescent="0.35">
      <c r="E58" t="s">
        <v>180</v>
      </c>
    </row>
    <row r="59" spans="2:7" x14ac:dyDescent="0.35">
      <c r="B59" s="5" t="s">
        <v>46</v>
      </c>
    </row>
    <row r="61" spans="2:7" x14ac:dyDescent="0.35">
      <c r="B61" t="s">
        <v>47</v>
      </c>
      <c r="E61">
        <f>((E36-E35)-(E35-E34))/((E36-E35)+(E35-E34))</f>
        <v>-2.6548672566371681E-2</v>
      </c>
      <c r="G61" t="s">
        <v>48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BBDC-B4FA-450E-85C4-0D81BDFCF034}">
  <dimension ref="A1:I55"/>
  <sheetViews>
    <sheetView workbookViewId="0">
      <selection activeCell="F52" sqref="F52"/>
    </sheetView>
  </sheetViews>
  <sheetFormatPr defaultRowHeight="14.5" x14ac:dyDescent="0.35"/>
  <cols>
    <col min="2" max="2" width="13.81640625" customWidth="1"/>
    <col min="3" max="3" width="11.90625" customWidth="1"/>
  </cols>
  <sheetData>
    <row r="1" spans="1:9" x14ac:dyDescent="0.35">
      <c r="A1" s="1" t="s">
        <v>0</v>
      </c>
      <c r="C1" t="s">
        <v>52</v>
      </c>
    </row>
    <row r="3" spans="1:9" x14ac:dyDescent="0.35">
      <c r="A3" s="1" t="s">
        <v>53</v>
      </c>
      <c r="C3" t="s">
        <v>2</v>
      </c>
      <c r="D3" t="s">
        <v>52</v>
      </c>
    </row>
    <row r="4" spans="1:9" x14ac:dyDescent="0.35">
      <c r="C4" t="s">
        <v>54</v>
      </c>
      <c r="D4" t="s">
        <v>55</v>
      </c>
      <c r="H4" t="s">
        <v>65</v>
      </c>
    </row>
    <row r="5" spans="1:9" x14ac:dyDescent="0.35">
      <c r="C5" t="s">
        <v>3</v>
      </c>
      <c r="D5" t="s">
        <v>56</v>
      </c>
    </row>
    <row r="7" spans="1:9" x14ac:dyDescent="0.35">
      <c r="A7" s="1" t="s">
        <v>8</v>
      </c>
      <c r="C7" t="s">
        <v>57</v>
      </c>
    </row>
    <row r="8" spans="1:9" x14ac:dyDescent="0.35">
      <c r="A8" s="1"/>
    </row>
    <row r="9" spans="1:9" x14ac:dyDescent="0.35">
      <c r="B9" t="s">
        <v>67</v>
      </c>
      <c r="C9" t="s">
        <v>66</v>
      </c>
    </row>
    <row r="10" spans="1:9" ht="29" x14ac:dyDescent="0.35">
      <c r="B10" s="9" t="s">
        <v>49</v>
      </c>
      <c r="C10" s="9" t="s">
        <v>50</v>
      </c>
      <c r="D10" t="s">
        <v>59</v>
      </c>
      <c r="E10" t="s">
        <v>69</v>
      </c>
      <c r="F10" t="s">
        <v>70</v>
      </c>
      <c r="G10" t="s">
        <v>79</v>
      </c>
      <c r="I10" t="s">
        <v>92</v>
      </c>
    </row>
    <row r="11" spans="1:9" x14ac:dyDescent="0.35">
      <c r="B11" s="7">
        <v>0</v>
      </c>
      <c r="C11" s="7">
        <v>10</v>
      </c>
      <c r="D11">
        <f>B11*C11</f>
        <v>0</v>
      </c>
      <c r="E11">
        <f>C11</f>
        <v>10</v>
      </c>
      <c r="F11" s="11" t="s">
        <v>71</v>
      </c>
      <c r="G11">
        <f>C11*(B11-$D$21)^2</f>
        <v>37.056250000000006</v>
      </c>
      <c r="I11">
        <f>C11*(B11-$D$21)^3</f>
        <v>-71.333281250000013</v>
      </c>
    </row>
    <row r="12" spans="1:9" x14ac:dyDescent="0.35">
      <c r="B12" s="7">
        <v>1</v>
      </c>
      <c r="C12" s="7">
        <v>20</v>
      </c>
      <c r="D12">
        <f t="shared" ref="D12:D15" si="0">B12*C12</f>
        <v>20</v>
      </c>
      <c r="E12">
        <f>C12+E11</f>
        <v>30</v>
      </c>
      <c r="F12" s="12" t="s">
        <v>72</v>
      </c>
      <c r="G12">
        <f t="shared" ref="G12:G15" si="1">C12*(B12-$D$21)^2</f>
        <v>17.112500000000001</v>
      </c>
      <c r="I12">
        <f t="shared" ref="I12:I15" si="2">C12*(B12-$D$21)^3</f>
        <v>-15.829062500000003</v>
      </c>
    </row>
    <row r="13" spans="1:9" x14ac:dyDescent="0.35">
      <c r="B13" s="13">
        <v>2</v>
      </c>
      <c r="C13" s="13">
        <v>150</v>
      </c>
      <c r="D13" s="3">
        <f t="shared" si="0"/>
        <v>300</v>
      </c>
      <c r="E13" s="3">
        <f t="shared" ref="E13:E15" si="3">C13+E12</f>
        <v>180</v>
      </c>
      <c r="F13" s="14" t="s">
        <v>73</v>
      </c>
      <c r="G13">
        <f t="shared" si="1"/>
        <v>0.84374999999999911</v>
      </c>
      <c r="I13">
        <f t="shared" si="2"/>
        <v>6.32812499999999E-2</v>
      </c>
    </row>
    <row r="14" spans="1:9" x14ac:dyDescent="0.35">
      <c r="B14" s="7">
        <v>3</v>
      </c>
      <c r="C14" s="7">
        <v>15</v>
      </c>
      <c r="D14">
        <f t="shared" si="0"/>
        <v>45</v>
      </c>
      <c r="E14">
        <f t="shared" si="3"/>
        <v>195</v>
      </c>
      <c r="F14" s="11" t="s">
        <v>74</v>
      </c>
      <c r="G14">
        <f t="shared" si="1"/>
        <v>17.334374999999998</v>
      </c>
      <c r="I14">
        <f t="shared" si="2"/>
        <v>18.634453124999997</v>
      </c>
    </row>
    <row r="15" spans="1:9" x14ac:dyDescent="0.35">
      <c r="B15" s="7">
        <v>4</v>
      </c>
      <c r="C15" s="7">
        <v>5</v>
      </c>
      <c r="D15">
        <f t="shared" si="0"/>
        <v>20</v>
      </c>
      <c r="E15">
        <f t="shared" si="3"/>
        <v>200</v>
      </c>
      <c r="F15" s="11" t="s">
        <v>75</v>
      </c>
      <c r="G15">
        <f t="shared" si="1"/>
        <v>21.528125000000003</v>
      </c>
      <c r="I15">
        <f t="shared" si="2"/>
        <v>44.670859375000013</v>
      </c>
    </row>
    <row r="16" spans="1:9" x14ac:dyDescent="0.35">
      <c r="B16" s="7" t="s">
        <v>51</v>
      </c>
      <c r="C16" s="7">
        <v>200</v>
      </c>
      <c r="D16">
        <f>SUM(D11:D15)</f>
        <v>385</v>
      </c>
      <c r="E16">
        <f>SUM(E11:E15)</f>
        <v>615</v>
      </c>
      <c r="G16">
        <f>SUM(G11:G15)</f>
        <v>93.875</v>
      </c>
      <c r="I16">
        <f>SUM(I11:I15)</f>
        <v>-23.79375000000001</v>
      </c>
    </row>
    <row r="18" spans="2:6" x14ac:dyDescent="0.35">
      <c r="B18" s="5" t="s">
        <v>58</v>
      </c>
      <c r="C18" s="3"/>
    </row>
    <row r="19" spans="2:6" x14ac:dyDescent="0.35">
      <c r="B19" s="5" t="s">
        <v>11</v>
      </c>
    </row>
    <row r="21" spans="2:6" x14ac:dyDescent="0.35">
      <c r="B21" t="s">
        <v>60</v>
      </c>
      <c r="D21">
        <f>D16/C16</f>
        <v>1.925</v>
      </c>
      <c r="F21" t="s">
        <v>61</v>
      </c>
    </row>
    <row r="23" spans="2:6" x14ac:dyDescent="0.35">
      <c r="B23" s="5" t="s">
        <v>46</v>
      </c>
    </row>
    <row r="25" spans="2:6" x14ac:dyDescent="0.35">
      <c r="B25" t="s">
        <v>68</v>
      </c>
      <c r="D25">
        <f>0.25*(201)</f>
        <v>50.25</v>
      </c>
    </row>
    <row r="26" spans="2:6" x14ac:dyDescent="0.35">
      <c r="B26" t="s">
        <v>62</v>
      </c>
      <c r="D26">
        <v>2</v>
      </c>
    </row>
    <row r="27" spans="2:6" x14ac:dyDescent="0.35">
      <c r="B27" t="s">
        <v>63</v>
      </c>
      <c r="D27">
        <f>0.5*201</f>
        <v>100.5</v>
      </c>
    </row>
    <row r="28" spans="2:6" x14ac:dyDescent="0.35">
      <c r="B28" t="s">
        <v>63</v>
      </c>
      <c r="D28">
        <v>2</v>
      </c>
    </row>
    <row r="29" spans="2:6" x14ac:dyDescent="0.35">
      <c r="B29" t="s">
        <v>64</v>
      </c>
      <c r="D29">
        <f>0.75*201</f>
        <v>150.75</v>
      </c>
    </row>
    <row r="30" spans="2:6" x14ac:dyDescent="0.35">
      <c r="B30" t="s">
        <v>64</v>
      </c>
      <c r="D30">
        <v>2</v>
      </c>
      <c r="F30" t="s">
        <v>77</v>
      </c>
    </row>
    <row r="31" spans="2:6" x14ac:dyDescent="0.35">
      <c r="B31" t="s">
        <v>17</v>
      </c>
      <c r="D31">
        <v>2</v>
      </c>
      <c r="F31" t="s">
        <v>76</v>
      </c>
    </row>
    <row r="33" spans="2:6" x14ac:dyDescent="0.35">
      <c r="B33" s="5" t="s">
        <v>78</v>
      </c>
    </row>
    <row r="34" spans="2:6" x14ac:dyDescent="0.35">
      <c r="B34" s="1" t="s">
        <v>11</v>
      </c>
    </row>
    <row r="36" spans="2:6" x14ac:dyDescent="0.35">
      <c r="B36" t="s">
        <v>25</v>
      </c>
      <c r="D36">
        <f>G16/200</f>
        <v>0.46937499999999999</v>
      </c>
    </row>
    <row r="37" spans="2:6" x14ac:dyDescent="0.35">
      <c r="B37" t="s">
        <v>28</v>
      </c>
      <c r="D37">
        <f>SQRT(D36)</f>
        <v>0.68510948030223606</v>
      </c>
      <c r="F37" t="s">
        <v>80</v>
      </c>
    </row>
    <row r="39" spans="2:6" x14ac:dyDescent="0.35">
      <c r="B39" s="1" t="s">
        <v>13</v>
      </c>
    </row>
    <row r="41" spans="2:6" x14ac:dyDescent="0.35">
      <c r="B41" t="s">
        <v>30</v>
      </c>
      <c r="D41">
        <f>B15-B11</f>
        <v>4</v>
      </c>
      <c r="F41" t="s">
        <v>81</v>
      </c>
    </row>
    <row r="42" spans="2:6" x14ac:dyDescent="0.35">
      <c r="B42" t="s">
        <v>82</v>
      </c>
      <c r="D42">
        <f>0</f>
        <v>0</v>
      </c>
      <c r="F42" t="s">
        <v>83</v>
      </c>
    </row>
    <row r="43" spans="2:6" x14ac:dyDescent="0.35">
      <c r="B43" t="s">
        <v>84</v>
      </c>
      <c r="D43">
        <f>0</f>
        <v>0</v>
      </c>
      <c r="F43" t="s">
        <v>85</v>
      </c>
    </row>
    <row r="44" spans="2:6" x14ac:dyDescent="0.35">
      <c r="B44" t="s">
        <v>86</v>
      </c>
      <c r="D44">
        <f>(D37/D21)*100</f>
        <v>35.590102872843431</v>
      </c>
      <c r="F44" t="s">
        <v>88</v>
      </c>
    </row>
    <row r="45" spans="2:6" x14ac:dyDescent="0.35">
      <c r="B45" t="s">
        <v>87</v>
      </c>
      <c r="D45">
        <f>0</f>
        <v>0</v>
      </c>
      <c r="F45" t="s">
        <v>89</v>
      </c>
    </row>
    <row r="47" spans="2:6" x14ac:dyDescent="0.35">
      <c r="B47" s="5" t="s">
        <v>90</v>
      </c>
    </row>
    <row r="48" spans="2:6" x14ac:dyDescent="0.35">
      <c r="B48" s="1" t="s">
        <v>24</v>
      </c>
    </row>
    <row r="50" spans="2:6" x14ac:dyDescent="0.35">
      <c r="B50" t="s">
        <v>91</v>
      </c>
      <c r="D50">
        <f>I16/C16</f>
        <v>-0.11896875000000005</v>
      </c>
      <c r="F50" t="s">
        <v>93</v>
      </c>
    </row>
    <row r="51" spans="2:6" x14ac:dyDescent="0.35">
      <c r="B51" t="s">
        <v>94</v>
      </c>
      <c r="D51">
        <f>D50/(D37)^3</f>
        <v>-0.36995846340848526</v>
      </c>
      <c r="F51" t="s">
        <v>95</v>
      </c>
    </row>
    <row r="53" spans="2:6" x14ac:dyDescent="0.35">
      <c r="B53" s="1" t="s">
        <v>13</v>
      </c>
    </row>
    <row r="55" spans="2:6" x14ac:dyDescent="0.35">
      <c r="B55" t="s">
        <v>47</v>
      </c>
      <c r="D55">
        <f>0</f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DCE6-5187-4518-B32F-13A8DC73F74D}">
  <dimension ref="A1:N52"/>
  <sheetViews>
    <sheetView topLeftCell="A11" zoomScale="90" workbookViewId="0">
      <selection activeCell="B15" sqref="B15"/>
    </sheetView>
  </sheetViews>
  <sheetFormatPr defaultRowHeight="14.5" x14ac:dyDescent="0.35"/>
  <cols>
    <col min="2" max="2" width="14.36328125" customWidth="1"/>
    <col min="3" max="3" width="12.26953125" customWidth="1"/>
    <col min="4" max="4" width="9.90625" customWidth="1"/>
    <col min="8" max="8" width="9.08984375" customWidth="1"/>
  </cols>
  <sheetData>
    <row r="1" spans="1:14" x14ac:dyDescent="0.35">
      <c r="A1" s="1" t="s">
        <v>96</v>
      </c>
      <c r="C1" t="s">
        <v>105</v>
      </c>
    </row>
    <row r="3" spans="1:14" x14ac:dyDescent="0.35">
      <c r="A3" s="1" t="s">
        <v>97</v>
      </c>
      <c r="C3" t="s">
        <v>2</v>
      </c>
      <c r="D3" t="s">
        <v>106</v>
      </c>
    </row>
    <row r="4" spans="1:14" x14ac:dyDescent="0.35">
      <c r="C4" t="s">
        <v>3</v>
      </c>
      <c r="D4" t="s">
        <v>108</v>
      </c>
    </row>
    <row r="5" spans="1:14" x14ac:dyDescent="0.35">
      <c r="C5" t="s">
        <v>4</v>
      </c>
      <c r="D5" t="s">
        <v>107</v>
      </c>
    </row>
    <row r="7" spans="1:14" x14ac:dyDescent="0.35">
      <c r="A7" s="1" t="s">
        <v>8</v>
      </c>
      <c r="C7" t="s">
        <v>109</v>
      </c>
    </row>
    <row r="10" spans="1:14" x14ac:dyDescent="0.35">
      <c r="B10" t="s">
        <v>67</v>
      </c>
      <c r="C10" t="s">
        <v>66</v>
      </c>
      <c r="D10" t="s">
        <v>111</v>
      </c>
    </row>
    <row r="11" spans="1:14" ht="43.5" x14ac:dyDescent="0.35">
      <c r="B11" s="15" t="s">
        <v>98</v>
      </c>
      <c r="C11" s="15" t="s">
        <v>99</v>
      </c>
      <c r="D11" s="8" t="s">
        <v>110</v>
      </c>
      <c r="E11" s="8" t="s">
        <v>114</v>
      </c>
      <c r="F11" t="s">
        <v>69</v>
      </c>
      <c r="G11" s="8" t="s">
        <v>116</v>
      </c>
      <c r="H11" s="8" t="s">
        <v>137</v>
      </c>
    </row>
    <row r="12" spans="1:14" x14ac:dyDescent="0.35">
      <c r="B12" t="s">
        <v>100</v>
      </c>
      <c r="C12">
        <v>5</v>
      </c>
      <c r="D12">
        <v>5</v>
      </c>
      <c r="E12">
        <f>C12*D12</f>
        <v>25</v>
      </c>
      <c r="F12">
        <f>C12</f>
        <v>5</v>
      </c>
      <c r="G12" s="10" t="s">
        <v>117</v>
      </c>
      <c r="H12">
        <f>(D12-$D$22)^2*C12</f>
        <v>2697.1904266389179</v>
      </c>
      <c r="I12">
        <f>(D12-$D$22)^3*C12</f>
        <v>-62644.422812258745</v>
      </c>
    </row>
    <row r="13" spans="1:14" x14ac:dyDescent="0.35">
      <c r="B13" s="10" t="s">
        <v>101</v>
      </c>
      <c r="C13">
        <v>50</v>
      </c>
      <c r="D13">
        <v>15</v>
      </c>
      <c r="E13">
        <f t="shared" ref="E13:E16" si="0">C13*D13</f>
        <v>750</v>
      </c>
      <c r="F13">
        <f>F12+C13</f>
        <v>55</v>
      </c>
      <c r="G13" t="s">
        <v>118</v>
      </c>
      <c r="H13">
        <f t="shared" ref="H13:H16" si="1">(D13-$D$22)^2*C13</f>
        <v>8746.0978147762762</v>
      </c>
      <c r="I13">
        <f t="shared" ref="I13:I16" si="2">(D13-$D$22)^3*C13</f>
        <v>-115674.19690510561</v>
      </c>
    </row>
    <row r="14" spans="1:14" x14ac:dyDescent="0.35">
      <c r="A14" s="17" t="s">
        <v>157</v>
      </c>
      <c r="B14" t="s">
        <v>102</v>
      </c>
      <c r="C14">
        <v>100</v>
      </c>
      <c r="D14">
        <v>25</v>
      </c>
      <c r="E14">
        <f t="shared" si="0"/>
        <v>2500</v>
      </c>
      <c r="F14">
        <f t="shared" ref="F14:F16" si="3">F13+C14</f>
        <v>155</v>
      </c>
      <c r="G14" t="s">
        <v>119</v>
      </c>
      <c r="H14">
        <f t="shared" si="1"/>
        <v>1040.5827263267436</v>
      </c>
      <c r="I14">
        <f t="shared" si="2"/>
        <v>-3356.7184720217538</v>
      </c>
    </row>
    <row r="15" spans="1:14" x14ac:dyDescent="0.35">
      <c r="A15" s="11" t="s">
        <v>64</v>
      </c>
      <c r="B15" t="s">
        <v>103</v>
      </c>
      <c r="C15">
        <v>150</v>
      </c>
      <c r="D15">
        <v>35</v>
      </c>
      <c r="E15">
        <f t="shared" si="0"/>
        <v>5250</v>
      </c>
      <c r="F15">
        <f t="shared" si="3"/>
        <v>305</v>
      </c>
      <c r="G15" t="s">
        <v>120</v>
      </c>
      <c r="H15">
        <f t="shared" si="1"/>
        <v>6883.4547346514037</v>
      </c>
      <c r="I15">
        <f t="shared" si="2"/>
        <v>46629.854654090144</v>
      </c>
    </row>
    <row r="16" spans="1:14" x14ac:dyDescent="0.35">
      <c r="B16" t="s">
        <v>104</v>
      </c>
      <c r="C16">
        <v>5</v>
      </c>
      <c r="D16">
        <v>45</v>
      </c>
      <c r="E16">
        <f t="shared" si="0"/>
        <v>225</v>
      </c>
      <c r="F16">
        <f t="shared" si="3"/>
        <v>310</v>
      </c>
      <c r="G16" t="s">
        <v>121</v>
      </c>
      <c r="H16">
        <f t="shared" si="1"/>
        <v>1406.8678459937564</v>
      </c>
      <c r="I16">
        <f t="shared" si="2"/>
        <v>23599.073545701722</v>
      </c>
      <c r="M16" s="16" t="s">
        <v>122</v>
      </c>
      <c r="N16" s="16" t="s">
        <v>123</v>
      </c>
    </row>
    <row r="17" spans="2:14" x14ac:dyDescent="0.35">
      <c r="B17" t="s">
        <v>51</v>
      </c>
      <c r="C17">
        <f>SUM(C12:C16)</f>
        <v>310</v>
      </c>
      <c r="E17">
        <f>SUM(E12:E16)</f>
        <v>8750</v>
      </c>
      <c r="H17">
        <f>SUM(H12:H16)</f>
        <v>20774.193548387098</v>
      </c>
      <c r="I17">
        <f>SUM(I12:I16)</f>
        <v>-111446.40998959422</v>
      </c>
      <c r="M17" s="16" t="s">
        <v>124</v>
      </c>
      <c r="N17" s="16" t="s">
        <v>125</v>
      </c>
    </row>
    <row r="18" spans="2:14" x14ac:dyDescent="0.35">
      <c r="M18" s="16" t="s">
        <v>126</v>
      </c>
      <c r="N18" s="16" t="s">
        <v>127</v>
      </c>
    </row>
    <row r="19" spans="2:14" x14ac:dyDescent="0.35">
      <c r="B19" s="5" t="s">
        <v>112</v>
      </c>
      <c r="C19" s="3"/>
      <c r="M19" s="16" t="s">
        <v>128</v>
      </c>
      <c r="N19" s="16" t="s">
        <v>129</v>
      </c>
    </row>
    <row r="20" spans="2:14" x14ac:dyDescent="0.35">
      <c r="B20" s="1" t="s">
        <v>11</v>
      </c>
      <c r="M20" s="16" t="s">
        <v>130</v>
      </c>
      <c r="N20" s="16" t="s">
        <v>131</v>
      </c>
    </row>
    <row r="22" spans="2:14" x14ac:dyDescent="0.35">
      <c r="B22" t="s">
        <v>113</v>
      </c>
      <c r="D22">
        <f>E17/C17</f>
        <v>28.225806451612904</v>
      </c>
    </row>
    <row r="24" spans="2:14" x14ac:dyDescent="0.35">
      <c r="B24" s="1" t="s">
        <v>46</v>
      </c>
    </row>
    <row r="26" spans="2:14" x14ac:dyDescent="0.35">
      <c r="B26" t="s">
        <v>17</v>
      </c>
      <c r="D26">
        <f>30+((150-100)/((150-100)+(150-5))*10)</f>
        <v>32.564102564102562</v>
      </c>
      <c r="F26" t="s">
        <v>132</v>
      </c>
    </row>
    <row r="27" spans="2:14" x14ac:dyDescent="0.35">
      <c r="B27" t="s">
        <v>115</v>
      </c>
      <c r="D27">
        <f>0.25*310</f>
        <v>77.5</v>
      </c>
    </row>
    <row r="28" spans="2:14" x14ac:dyDescent="0.35">
      <c r="B28" t="s">
        <v>62</v>
      </c>
      <c r="D28">
        <f>20+(D27-F13)*(10/100)</f>
        <v>22.25</v>
      </c>
    </row>
    <row r="29" spans="2:14" x14ac:dyDescent="0.35">
      <c r="B29" t="s">
        <v>133</v>
      </c>
      <c r="D29">
        <f>0.5*310</f>
        <v>155</v>
      </c>
    </row>
    <row r="30" spans="2:14" x14ac:dyDescent="0.35">
      <c r="B30" t="s">
        <v>134</v>
      </c>
      <c r="D30">
        <f>20+(D29-F13)*(10/100)</f>
        <v>30</v>
      </c>
    </row>
    <row r="31" spans="2:14" x14ac:dyDescent="0.35">
      <c r="B31" t="s">
        <v>135</v>
      </c>
      <c r="D31">
        <f>0.75*310</f>
        <v>232.5</v>
      </c>
    </row>
    <row r="32" spans="2:14" x14ac:dyDescent="0.35">
      <c r="B32" t="s">
        <v>64</v>
      </c>
      <c r="D32">
        <f>30+(D31-F14)*(10/150)</f>
        <v>35.166666666666664</v>
      </c>
    </row>
    <row r="34" spans="2:4" x14ac:dyDescent="0.35">
      <c r="B34" s="5" t="s">
        <v>78</v>
      </c>
    </row>
    <row r="35" spans="2:4" x14ac:dyDescent="0.35">
      <c r="B35" t="s">
        <v>24</v>
      </c>
    </row>
    <row r="37" spans="2:4" x14ac:dyDescent="0.35">
      <c r="B37" t="s">
        <v>136</v>
      </c>
      <c r="D37">
        <f>H17/C17</f>
        <v>67.013527575442254</v>
      </c>
    </row>
    <row r="38" spans="2:4" x14ac:dyDescent="0.35">
      <c r="B38" t="s">
        <v>138</v>
      </c>
      <c r="D38">
        <f>SQRT(D37)</f>
        <v>8.1861790583545293</v>
      </c>
    </row>
    <row r="39" spans="2:4" x14ac:dyDescent="0.35">
      <c r="B39" t="s">
        <v>30</v>
      </c>
      <c r="D39">
        <v>50</v>
      </c>
    </row>
    <row r="40" spans="2:4" x14ac:dyDescent="0.35">
      <c r="B40" t="s">
        <v>82</v>
      </c>
      <c r="D40">
        <f>(D32-D28)</f>
        <v>12.916666666666664</v>
      </c>
    </row>
    <row r="41" spans="2:4" x14ac:dyDescent="0.35">
      <c r="B41" t="s">
        <v>139</v>
      </c>
      <c r="D41">
        <f>D40/2</f>
        <v>6.4583333333333321</v>
      </c>
    </row>
    <row r="42" spans="2:4" x14ac:dyDescent="0.35">
      <c r="B42" t="s">
        <v>140</v>
      </c>
      <c r="D42">
        <f>(D38/D22)*100</f>
        <v>29.0024629495989</v>
      </c>
    </row>
    <row r="43" spans="2:4" x14ac:dyDescent="0.35">
      <c r="D43">
        <f>D41/D30</f>
        <v>0.21527777777777773</v>
      </c>
    </row>
    <row r="45" spans="2:4" x14ac:dyDescent="0.35">
      <c r="B45" s="5" t="s">
        <v>90</v>
      </c>
    </row>
    <row r="47" spans="2:4" x14ac:dyDescent="0.35">
      <c r="B47" t="s">
        <v>11</v>
      </c>
    </row>
    <row r="48" spans="2:4" ht="16.5" customHeight="1" x14ac:dyDescent="0.35"/>
    <row r="49" spans="2:4" x14ac:dyDescent="0.35">
      <c r="B49" t="s">
        <v>141</v>
      </c>
      <c r="D49">
        <f>I17/310</f>
        <v>-359.50454835352974</v>
      </c>
    </row>
    <row r="50" spans="2:4" x14ac:dyDescent="0.35">
      <c r="D50">
        <f>D49/(D38)^3</f>
        <v>-0.6553309356227307</v>
      </c>
    </row>
    <row r="52" spans="2:4" x14ac:dyDescent="0.35">
      <c r="B52" t="s">
        <v>47</v>
      </c>
      <c r="D52">
        <f>((D32-D30)-(D30-D28))/((D32-D30)+(D30-D28))</f>
        <v>-0.20000000000000023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EC29-82C8-489F-A197-2BEB88F2B1E0}">
  <dimension ref="A8:V80"/>
  <sheetViews>
    <sheetView topLeftCell="A47" zoomScale="85" workbookViewId="0">
      <selection activeCell="I68" sqref="I68"/>
    </sheetView>
  </sheetViews>
  <sheetFormatPr defaultRowHeight="14.5" x14ac:dyDescent="0.35"/>
  <cols>
    <col min="2" max="2" width="10.1796875" bestFit="1" customWidth="1"/>
    <col min="6" max="6" width="9.26953125" bestFit="1" customWidth="1"/>
  </cols>
  <sheetData>
    <row r="8" spans="2:6" x14ac:dyDescent="0.35">
      <c r="B8" t="s">
        <v>144</v>
      </c>
      <c r="C8" t="s">
        <v>145</v>
      </c>
    </row>
    <row r="9" spans="2:6" x14ac:dyDescent="0.35">
      <c r="B9" s="7" t="s">
        <v>142</v>
      </c>
      <c r="C9" s="7" t="s">
        <v>143</v>
      </c>
      <c r="D9" t="s">
        <v>148</v>
      </c>
      <c r="E9" t="s">
        <v>149</v>
      </c>
      <c r="F9" t="s">
        <v>150</v>
      </c>
    </row>
    <row r="10" spans="2:6" x14ac:dyDescent="0.35">
      <c r="B10" s="7">
        <v>2</v>
      </c>
      <c r="C10" s="7">
        <v>4</v>
      </c>
      <c r="D10">
        <f t="shared" ref="D10:D19" si="0">B10-$C$22</f>
        <v>-1.7999999999999998</v>
      </c>
      <c r="E10">
        <f>C10-$C$23</f>
        <v>-7</v>
      </c>
      <c r="F10">
        <f>D10*E10</f>
        <v>12.599999999999998</v>
      </c>
    </row>
    <row r="11" spans="2:6" x14ac:dyDescent="0.35">
      <c r="B11" s="7">
        <v>4</v>
      </c>
      <c r="C11" s="7">
        <v>8</v>
      </c>
      <c r="D11">
        <f t="shared" si="0"/>
        <v>0.20000000000000018</v>
      </c>
      <c r="E11">
        <f t="shared" ref="E11:E19" si="1">C11-$C$23</f>
        <v>-3</v>
      </c>
      <c r="F11">
        <f t="shared" ref="F11:F19" si="2">D11*E11</f>
        <v>-0.60000000000000053</v>
      </c>
    </row>
    <row r="12" spans="2:6" x14ac:dyDescent="0.35">
      <c r="B12" s="7">
        <v>2</v>
      </c>
      <c r="C12" s="7">
        <v>8</v>
      </c>
      <c r="D12">
        <f t="shared" si="0"/>
        <v>-1.7999999999999998</v>
      </c>
      <c r="E12">
        <f t="shared" si="1"/>
        <v>-3</v>
      </c>
      <c r="F12">
        <f t="shared" si="2"/>
        <v>5.3999999999999995</v>
      </c>
    </row>
    <row r="13" spans="2:6" x14ac:dyDescent="0.35">
      <c r="B13" s="7">
        <v>6</v>
      </c>
      <c r="C13" s="7">
        <v>16</v>
      </c>
      <c r="D13">
        <f t="shared" si="0"/>
        <v>2.2000000000000002</v>
      </c>
      <c r="E13">
        <f t="shared" si="1"/>
        <v>5</v>
      </c>
      <c r="F13">
        <f t="shared" si="2"/>
        <v>11</v>
      </c>
    </row>
    <row r="14" spans="2:6" x14ac:dyDescent="0.35">
      <c r="B14" s="7">
        <v>4</v>
      </c>
      <c r="C14" s="7">
        <v>4</v>
      </c>
      <c r="D14">
        <f t="shared" si="0"/>
        <v>0.20000000000000018</v>
      </c>
      <c r="E14">
        <f t="shared" si="1"/>
        <v>-7</v>
      </c>
      <c r="F14">
        <f t="shared" si="2"/>
        <v>-1.4000000000000012</v>
      </c>
    </row>
    <row r="15" spans="2:6" x14ac:dyDescent="0.35">
      <c r="B15" s="7">
        <v>2</v>
      </c>
      <c r="C15" s="7">
        <v>2</v>
      </c>
      <c r="D15">
        <f t="shared" si="0"/>
        <v>-1.7999999999999998</v>
      </c>
      <c r="E15">
        <f t="shared" si="1"/>
        <v>-9</v>
      </c>
      <c r="F15">
        <f t="shared" si="2"/>
        <v>16.2</v>
      </c>
    </row>
    <row r="16" spans="2:6" x14ac:dyDescent="0.35">
      <c r="B16" s="7">
        <v>4</v>
      </c>
      <c r="C16" s="7">
        <v>8</v>
      </c>
      <c r="D16">
        <f t="shared" si="0"/>
        <v>0.20000000000000018</v>
      </c>
      <c r="E16">
        <f t="shared" si="1"/>
        <v>-3</v>
      </c>
      <c r="F16">
        <f t="shared" si="2"/>
        <v>-0.60000000000000053</v>
      </c>
    </row>
    <row r="17" spans="2:22" x14ac:dyDescent="0.35">
      <c r="B17" s="7">
        <v>4</v>
      </c>
      <c r="C17" s="7">
        <v>16</v>
      </c>
      <c r="D17">
        <f t="shared" si="0"/>
        <v>0.20000000000000018</v>
      </c>
      <c r="E17">
        <f t="shared" si="1"/>
        <v>5</v>
      </c>
      <c r="F17">
        <f t="shared" si="2"/>
        <v>1.0000000000000009</v>
      </c>
    </row>
    <row r="18" spans="2:22" x14ac:dyDescent="0.35">
      <c r="B18" s="7">
        <v>4</v>
      </c>
      <c r="C18" s="7">
        <v>12</v>
      </c>
      <c r="D18">
        <f t="shared" si="0"/>
        <v>0.20000000000000018</v>
      </c>
      <c r="E18">
        <f t="shared" si="1"/>
        <v>1</v>
      </c>
      <c r="F18">
        <f t="shared" si="2"/>
        <v>0.20000000000000018</v>
      </c>
    </row>
    <row r="19" spans="2:22" x14ac:dyDescent="0.35">
      <c r="B19" s="7">
        <v>6</v>
      </c>
      <c r="C19" s="7">
        <v>32</v>
      </c>
      <c r="D19">
        <f t="shared" si="0"/>
        <v>2.2000000000000002</v>
      </c>
      <c r="E19">
        <f t="shared" si="1"/>
        <v>21</v>
      </c>
      <c r="F19">
        <f t="shared" si="2"/>
        <v>46.2</v>
      </c>
    </row>
    <row r="20" spans="2:22" x14ac:dyDescent="0.35">
      <c r="D20">
        <f>SUM(D10:D19)</f>
        <v>0</v>
      </c>
      <c r="E20">
        <f>SUM(E10:E19)</f>
        <v>0</v>
      </c>
      <c r="F20">
        <f>SUM(F10:F19)</f>
        <v>90</v>
      </c>
    </row>
    <row r="22" spans="2:22" x14ac:dyDescent="0.35">
      <c r="B22" s="3" t="s">
        <v>146</v>
      </c>
      <c r="C22">
        <f>AVERAGE(B10:B19)</f>
        <v>3.8</v>
      </c>
    </row>
    <row r="23" spans="2:22" x14ac:dyDescent="0.35">
      <c r="B23" s="3" t="s">
        <v>147</v>
      </c>
      <c r="C23">
        <f>AVERAGE(C10:C19)</f>
        <v>11</v>
      </c>
    </row>
    <row r="25" spans="2:22" x14ac:dyDescent="0.35">
      <c r="B25" s="3" t="s">
        <v>151</v>
      </c>
      <c r="C25" s="3"/>
      <c r="D25" s="3"/>
      <c r="E25">
        <f>_xlfn.STDEV.P(B10:B19)</f>
        <v>1.4</v>
      </c>
    </row>
    <row r="26" spans="2:22" ht="15.5" x14ac:dyDescent="0.35">
      <c r="B26" s="3" t="s">
        <v>152</v>
      </c>
      <c r="C26" s="3"/>
      <c r="D26" s="3"/>
      <c r="E26">
        <f>_xlfn.STDEV.P(C10:C19)</f>
        <v>8.3546394296821695</v>
      </c>
      <c r="J26" s="18" t="s">
        <v>156</v>
      </c>
      <c r="K26" s="19"/>
      <c r="L26" s="19"/>
      <c r="M26" s="20"/>
      <c r="N26" s="19"/>
      <c r="O26" s="19"/>
      <c r="P26" s="19"/>
      <c r="Q26" s="19"/>
      <c r="R26" s="19"/>
      <c r="S26" s="19"/>
      <c r="T26" s="19"/>
      <c r="U26" s="19"/>
      <c r="V26" s="19"/>
    </row>
    <row r="28" spans="2:22" x14ac:dyDescent="0.35">
      <c r="B28" s="3" t="s">
        <v>153</v>
      </c>
      <c r="D28" s="3" t="s">
        <v>154</v>
      </c>
      <c r="E28" s="3"/>
      <c r="J28" s="1" t="s">
        <v>158</v>
      </c>
    </row>
    <row r="30" spans="2:22" x14ac:dyDescent="0.35">
      <c r="B30">
        <f>F20/(10*E26*E25)</f>
        <v>0.76946126552537386</v>
      </c>
      <c r="D30">
        <f>F20/10</f>
        <v>9</v>
      </c>
      <c r="F30">
        <f>PEARSON(B10:B19,C10:C19)</f>
        <v>0.76946126552537364</v>
      </c>
      <c r="J30" t="s">
        <v>159</v>
      </c>
      <c r="K30">
        <v>0.59</v>
      </c>
      <c r="M30" t="s">
        <v>161</v>
      </c>
    </row>
    <row r="32" spans="2:22" x14ac:dyDescent="0.35">
      <c r="B32" t="s">
        <v>155</v>
      </c>
      <c r="J32" s="1" t="s">
        <v>160</v>
      </c>
    </row>
    <row r="34" spans="1:14" x14ac:dyDescent="0.35">
      <c r="A34" s="21"/>
      <c r="B34" s="21"/>
      <c r="C34" s="21"/>
      <c r="D34" s="21"/>
      <c r="E34" s="21"/>
      <c r="F34" s="21"/>
      <c r="G34" s="21"/>
      <c r="H34" s="21"/>
      <c r="I34" s="22"/>
      <c r="J34">
        <f>1-0.59</f>
        <v>0.41000000000000003</v>
      </c>
      <c r="L34" t="s">
        <v>162</v>
      </c>
    </row>
    <row r="35" spans="1:14" x14ac:dyDescent="0.35">
      <c r="B35" s="3" t="s">
        <v>164</v>
      </c>
      <c r="C35">
        <f t="array" ref="C35:D41">LINEST(C10:C19,B10:B19,TRUE,TRUE)</f>
        <v>4.591836734693878</v>
      </c>
      <c r="D35">
        <v>-6.4489795918367356</v>
      </c>
      <c r="E35" s="3" t="s">
        <v>163</v>
      </c>
      <c r="I35" s="23"/>
    </row>
    <row r="36" spans="1:14" x14ac:dyDescent="0.35">
      <c r="C36">
        <v>1.3475570627934024</v>
      </c>
      <c r="D36">
        <v>5.4571901757904548</v>
      </c>
      <c r="I36" s="23"/>
      <c r="J36" s="1"/>
    </row>
    <row r="37" spans="1:14" x14ac:dyDescent="0.35">
      <c r="B37" s="3" t="s">
        <v>159</v>
      </c>
      <c r="C37">
        <v>0.59207063914390978</v>
      </c>
      <c r="D37">
        <v>5.9658894336631709</v>
      </c>
      <c r="I37" s="23"/>
    </row>
    <row r="38" spans="1:14" x14ac:dyDescent="0.35">
      <c r="C38">
        <v>11.611238532110095</v>
      </c>
      <c r="D38">
        <v>8</v>
      </c>
      <c r="I38" s="23"/>
    </row>
    <row r="39" spans="1:14" x14ac:dyDescent="0.35">
      <c r="C39">
        <v>413.26530612244903</v>
      </c>
      <c r="D39">
        <v>284.73469387755097</v>
      </c>
      <c r="E39" s="3" t="s">
        <v>165</v>
      </c>
      <c r="I39" s="23"/>
    </row>
    <row r="40" spans="1:14" x14ac:dyDescent="0.35">
      <c r="C40" t="e">
        <v>#N/A</v>
      </c>
      <c r="D40" t="e">
        <v>#N/A</v>
      </c>
      <c r="I40" s="23"/>
      <c r="J40" s="1"/>
    </row>
    <row r="41" spans="1:14" x14ac:dyDescent="0.35">
      <c r="C41" t="e">
        <v>#N/A</v>
      </c>
      <c r="D41" t="e">
        <v>#N/A</v>
      </c>
      <c r="I41" s="23"/>
    </row>
    <row r="42" spans="1:14" x14ac:dyDescent="0.35">
      <c r="I42" s="23"/>
    </row>
    <row r="45" spans="1:14" ht="15.5" x14ac:dyDescent="0.35">
      <c r="C45" s="24" t="s">
        <v>166</v>
      </c>
      <c r="D45" s="19"/>
      <c r="E45" s="19"/>
      <c r="F45" s="20"/>
      <c r="G45" s="19"/>
      <c r="H45" s="19"/>
      <c r="I45" s="19"/>
      <c r="J45" s="19"/>
      <c r="K45" s="19"/>
      <c r="L45" s="19"/>
      <c r="M45" s="19"/>
      <c r="N45" s="19"/>
    </row>
    <row r="49" spans="3:10" x14ac:dyDescent="0.35">
      <c r="C49" t="s">
        <v>144</v>
      </c>
      <c r="D49" t="s">
        <v>145</v>
      </c>
      <c r="I49" t="s">
        <v>165</v>
      </c>
    </row>
    <row r="50" spans="3:10" x14ac:dyDescent="0.35">
      <c r="C50" s="7" t="s">
        <v>142</v>
      </c>
      <c r="D50" s="7" t="s">
        <v>143</v>
      </c>
      <c r="E50" t="s">
        <v>148</v>
      </c>
      <c r="F50" t="s">
        <v>149</v>
      </c>
      <c r="G50" t="s">
        <v>150</v>
      </c>
      <c r="H50" t="s">
        <v>167</v>
      </c>
      <c r="I50" t="s">
        <v>169</v>
      </c>
    </row>
    <row r="51" spans="3:10" x14ac:dyDescent="0.35">
      <c r="C51" s="7">
        <v>2</v>
      </c>
      <c r="D51" s="7">
        <v>4</v>
      </c>
      <c r="E51">
        <f t="shared" ref="E51:E60" si="3">C51-$C$22</f>
        <v>-1.7999999999999998</v>
      </c>
      <c r="F51">
        <f>D51-$C$23</f>
        <v>-7</v>
      </c>
      <c r="G51">
        <f>E51*F51</f>
        <v>12.599999999999998</v>
      </c>
      <c r="H51">
        <f>$C$35*C51+$D$35</f>
        <v>2.7346938775510203</v>
      </c>
      <c r="I51">
        <f>(D51-H51)^2</f>
        <v>1.6009995835068722</v>
      </c>
    </row>
    <row r="52" spans="3:10" x14ac:dyDescent="0.35">
      <c r="C52" s="7">
        <v>4</v>
      </c>
      <c r="D52" s="7">
        <v>8</v>
      </c>
      <c r="E52">
        <f t="shared" si="3"/>
        <v>0.20000000000000018</v>
      </c>
      <c r="F52">
        <f t="shared" ref="F52:F60" si="4">D52-$C$23</f>
        <v>-3</v>
      </c>
      <c r="G52">
        <f t="shared" ref="G52:G60" si="5">E52*F52</f>
        <v>-0.60000000000000053</v>
      </c>
      <c r="H52">
        <f t="shared" ref="H52:H60" si="6">$C$35*C52+$D$35</f>
        <v>11.918367346938776</v>
      </c>
      <c r="I52">
        <f>(D52-H52)^2</f>
        <v>15.353602665556025</v>
      </c>
    </row>
    <row r="53" spans="3:10" x14ac:dyDescent="0.35">
      <c r="C53" s="7">
        <v>2</v>
      </c>
      <c r="D53" s="7">
        <v>8</v>
      </c>
      <c r="E53">
        <f t="shared" si="3"/>
        <v>-1.7999999999999998</v>
      </c>
      <c r="F53">
        <f t="shared" si="4"/>
        <v>-3</v>
      </c>
      <c r="G53">
        <f t="shared" si="5"/>
        <v>5.3999999999999995</v>
      </c>
      <c r="H53">
        <f t="shared" si="6"/>
        <v>2.7346938775510203</v>
      </c>
      <c r="I53">
        <f t="shared" ref="I52:I60" si="7">(D53-H53)^2</f>
        <v>27.72344856309871</v>
      </c>
    </row>
    <row r="54" spans="3:10" x14ac:dyDescent="0.35">
      <c r="C54" s="7">
        <v>6</v>
      </c>
      <c r="D54" s="7">
        <v>16</v>
      </c>
      <c r="E54">
        <f t="shared" si="3"/>
        <v>2.2000000000000002</v>
      </c>
      <c r="F54">
        <f t="shared" si="4"/>
        <v>5</v>
      </c>
      <c r="G54">
        <f t="shared" si="5"/>
        <v>11</v>
      </c>
      <c r="H54">
        <f t="shared" si="6"/>
        <v>21.102040816326532</v>
      </c>
      <c r="I54">
        <f t="shared" si="7"/>
        <v>26.030820491461906</v>
      </c>
    </row>
    <row r="55" spans="3:10" x14ac:dyDescent="0.35">
      <c r="C55" s="7">
        <v>4</v>
      </c>
      <c r="D55" s="7">
        <v>4</v>
      </c>
      <c r="E55">
        <f t="shared" si="3"/>
        <v>0.20000000000000018</v>
      </c>
      <c r="F55">
        <f t="shared" si="4"/>
        <v>-7</v>
      </c>
      <c r="G55">
        <f t="shared" si="5"/>
        <v>-1.4000000000000012</v>
      </c>
      <c r="H55">
        <f t="shared" si="6"/>
        <v>11.918367346938776</v>
      </c>
      <c r="I55">
        <f t="shared" si="7"/>
        <v>62.700541441066235</v>
      </c>
    </row>
    <row r="56" spans="3:10" x14ac:dyDescent="0.35">
      <c r="C56" s="7">
        <v>2</v>
      </c>
      <c r="D56" s="7">
        <v>2</v>
      </c>
      <c r="E56">
        <f t="shared" si="3"/>
        <v>-1.7999999999999998</v>
      </c>
      <c r="F56">
        <f t="shared" si="4"/>
        <v>-9</v>
      </c>
      <c r="G56">
        <f t="shared" si="5"/>
        <v>16.2</v>
      </c>
      <c r="H56">
        <f t="shared" si="6"/>
        <v>2.7346938775510203</v>
      </c>
      <c r="I56">
        <f t="shared" si="7"/>
        <v>0.53977509371095367</v>
      </c>
    </row>
    <row r="57" spans="3:10" x14ac:dyDescent="0.35">
      <c r="C57" s="7">
        <v>4</v>
      </c>
      <c r="D57" s="7">
        <v>8</v>
      </c>
      <c r="E57">
        <f t="shared" si="3"/>
        <v>0.20000000000000018</v>
      </c>
      <c r="F57">
        <f t="shared" si="4"/>
        <v>-3</v>
      </c>
      <c r="G57">
        <f t="shared" si="5"/>
        <v>-0.60000000000000053</v>
      </c>
      <c r="H57">
        <f t="shared" si="6"/>
        <v>11.918367346938776</v>
      </c>
      <c r="I57">
        <f t="shared" si="7"/>
        <v>15.353602665556025</v>
      </c>
    </row>
    <row r="58" spans="3:10" x14ac:dyDescent="0.35">
      <c r="C58" s="7">
        <v>4</v>
      </c>
      <c r="D58" s="7">
        <v>16</v>
      </c>
      <c r="E58">
        <f t="shared" si="3"/>
        <v>0.20000000000000018</v>
      </c>
      <c r="F58">
        <f t="shared" si="4"/>
        <v>5</v>
      </c>
      <c r="G58">
        <f t="shared" si="5"/>
        <v>1.0000000000000009</v>
      </c>
      <c r="H58">
        <f t="shared" si="6"/>
        <v>11.918367346938776</v>
      </c>
      <c r="I58">
        <f t="shared" si="7"/>
        <v>16.659725114535604</v>
      </c>
    </row>
    <row r="59" spans="3:10" x14ac:dyDescent="0.35">
      <c r="C59" s="7">
        <v>4</v>
      </c>
      <c r="D59" s="7">
        <v>12</v>
      </c>
      <c r="E59">
        <f t="shared" si="3"/>
        <v>0.20000000000000018</v>
      </c>
      <c r="F59">
        <f t="shared" si="4"/>
        <v>1</v>
      </c>
      <c r="G59">
        <f t="shared" si="5"/>
        <v>0.20000000000000018</v>
      </c>
      <c r="H59">
        <f t="shared" si="6"/>
        <v>11.918367346938776</v>
      </c>
      <c r="I59">
        <f t="shared" si="7"/>
        <v>6.6638900458141142E-3</v>
      </c>
    </row>
    <row r="60" spans="3:10" x14ac:dyDescent="0.35">
      <c r="C60" s="7">
        <v>6</v>
      </c>
      <c r="D60" s="7">
        <v>32</v>
      </c>
      <c r="E60">
        <f t="shared" si="3"/>
        <v>2.2000000000000002</v>
      </c>
      <c r="F60">
        <f t="shared" si="4"/>
        <v>21</v>
      </c>
      <c r="G60">
        <f t="shared" si="5"/>
        <v>46.2</v>
      </c>
      <c r="H60">
        <f t="shared" si="6"/>
        <v>21.102040816326532</v>
      </c>
      <c r="I60">
        <f t="shared" si="7"/>
        <v>118.76551436901288</v>
      </c>
    </row>
    <row r="61" spans="3:10" x14ac:dyDescent="0.35">
      <c r="E61">
        <f>SUM(E51:E60)</f>
        <v>0</v>
      </c>
      <c r="F61">
        <f>SUM(F51:F60)</f>
        <v>0</v>
      </c>
      <c r="G61">
        <f>SUM(G51:G60)</f>
        <v>90</v>
      </c>
      <c r="I61">
        <f>SUM(I51:I60)</f>
        <v>284.73469387755102</v>
      </c>
      <c r="J61" t="s">
        <v>168</v>
      </c>
    </row>
    <row r="64" spans="3:10" x14ac:dyDescent="0.35">
      <c r="G64" s="25"/>
    </row>
    <row r="65" spans="4:11" x14ac:dyDescent="0.35">
      <c r="D65" s="1" t="s">
        <v>172</v>
      </c>
      <c r="G65" s="25"/>
    </row>
    <row r="66" spans="4:11" x14ac:dyDescent="0.35">
      <c r="D66" s="25">
        <f>I61/(10-2)</f>
        <v>35.591836734693878</v>
      </c>
      <c r="E66" t="s">
        <v>173</v>
      </c>
      <c r="G66" s="25"/>
    </row>
    <row r="67" spans="4:11" x14ac:dyDescent="0.35">
      <c r="D67" s="1" t="s">
        <v>174</v>
      </c>
      <c r="G67" s="25"/>
      <c r="I67" t="s">
        <v>181</v>
      </c>
    </row>
    <row r="68" spans="4:11" x14ac:dyDescent="0.35">
      <c r="D68" s="25">
        <f>SQRT(D66)</f>
        <v>5.9658894336631718</v>
      </c>
      <c r="G68" s="25"/>
    </row>
    <row r="69" spans="4:11" x14ac:dyDescent="0.35">
      <c r="G69" s="25"/>
    </row>
    <row r="70" spans="4:11" x14ac:dyDescent="0.35">
      <c r="G70" s="25"/>
    </row>
    <row r="71" spans="4:11" x14ac:dyDescent="0.35">
      <c r="G71" s="25"/>
    </row>
    <row r="72" spans="4:11" ht="15.5" x14ac:dyDescent="0.35">
      <c r="D72" s="24" t="s">
        <v>175</v>
      </c>
      <c r="E72" s="19"/>
      <c r="F72" s="19"/>
      <c r="G72" s="20"/>
      <c r="H72" s="19"/>
      <c r="I72" s="19"/>
      <c r="J72" s="19"/>
      <c r="K72" s="19"/>
    </row>
    <row r="73" spans="4:11" x14ac:dyDescent="0.35">
      <c r="G73" s="25"/>
    </row>
    <row r="74" spans="4:11" x14ac:dyDescent="0.35">
      <c r="D74" s="1" t="s">
        <v>176</v>
      </c>
      <c r="J74" s="25" t="s">
        <v>177</v>
      </c>
    </row>
    <row r="75" spans="4:11" x14ac:dyDescent="0.35">
      <c r="D75" s="25">
        <f>(D68/C23)*100</f>
        <v>54.235358487847016</v>
      </c>
      <c r="E75" s="26">
        <v>0.54</v>
      </c>
      <c r="G75" s="25"/>
    </row>
    <row r="76" spans="4:11" x14ac:dyDescent="0.35">
      <c r="D76" t="s">
        <v>178</v>
      </c>
      <c r="G76" s="25"/>
    </row>
    <row r="77" spans="4:11" x14ac:dyDescent="0.35">
      <c r="G77" s="25"/>
    </row>
    <row r="78" spans="4:11" x14ac:dyDescent="0.35">
      <c r="G78" s="25"/>
    </row>
    <row r="79" spans="4:11" x14ac:dyDescent="0.35">
      <c r="G79" s="25"/>
    </row>
    <row r="80" spans="4:11" x14ac:dyDescent="0.35">
      <c r="G80" s="2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zadanie 1</vt:lpstr>
      <vt:lpstr>zadanie 2 </vt:lpstr>
      <vt:lpstr>zadanie 3 </vt:lpstr>
      <vt:lpstr>Arkusz4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Pstrong</dc:creator>
  <cp:lastModifiedBy>Aleksandra Pstrong</cp:lastModifiedBy>
  <cp:lastPrinted>2023-01-23T15:43:28Z</cp:lastPrinted>
  <dcterms:created xsi:type="dcterms:W3CDTF">2023-01-23T12:34:23Z</dcterms:created>
  <dcterms:modified xsi:type="dcterms:W3CDTF">2023-01-24T09:50:58Z</dcterms:modified>
</cp:coreProperties>
</file>