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GitHub\6xUSB-Power-Meter\Hardware\PCB\"/>
    </mc:Choice>
  </mc:AlternateContent>
  <xr:revisionPtr revIDLastSave="1" documentId="0799E736747B7C75CBB9FDA42BAFE06C68D83A62" xr6:coauthVersionLast="40" xr6:coauthVersionMax="40" xr10:uidLastSave="{F0090C67-C25C-4889-8948-31DE3C1B7809}"/>
  <bookViews>
    <workbookView xWindow="240" yWindow="15" windowWidth="15120" windowHeight="6915" xr2:uid="{00000000-000D-0000-FFFF-FFFF00000000}"/>
  </bookViews>
  <sheets>
    <sheet name="6xUSB_PowMet" sheetId="1" r:id="rId1"/>
  </sheets>
  <definedNames>
    <definedName name="BoardQty">'6xUSB_PowMet'!$I$1</definedName>
    <definedName name="digikey_part_data">'6xUSB_PowMet'!$J$5:$O$78</definedName>
    <definedName name="farnell_part_data">'6xUSB_PowMet'!$P$5:$U$78</definedName>
    <definedName name="global_part_data">'6xUSB_PowMet'!$A$5:$I$78</definedName>
    <definedName name="mouser_part_data">'6xUSB_PowMet'!$V$5:$AA$78</definedName>
    <definedName name="newark_part_data">'6xUSB_PowMet'!$AB$5:$AG$78</definedName>
    <definedName name="rs_part_data">'6xUSB_PowMet'!$AH$5:$AM$78</definedName>
    <definedName name="TotalCost">'6xUSB_PowMet'!$I$2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1" i="1" l="1"/>
  <c r="AQ51" i="1" s="1"/>
  <c r="G41" i="1"/>
  <c r="AQ41" i="1" s="1"/>
  <c r="AO80" i="1" a="1"/>
  <c r="AO80" i="1" s="1"/>
  <c r="D88" i="1"/>
  <c r="G85" i="1" s="1"/>
  <c r="G79" i="1"/>
  <c r="AQ79" i="1" s="1"/>
  <c r="G80" i="1"/>
  <c r="AK151" i="1" a="1"/>
  <c r="AK151" i="1" s="1"/>
  <c r="AJ151" i="1" a="1"/>
  <c r="AJ151" i="1" s="1"/>
  <c r="AI151" i="1" a="1"/>
  <c r="AI151" i="1" s="1"/>
  <c r="AE151" i="1" a="1"/>
  <c r="AE151" i="1" s="1"/>
  <c r="AD151" i="1" a="1"/>
  <c r="AD151" i="1" s="1"/>
  <c r="AC151" i="1" a="1"/>
  <c r="AC151" i="1" s="1"/>
  <c r="Y151" i="1" a="1"/>
  <c r="Y151" i="1" s="1"/>
  <c r="X151" i="1" a="1"/>
  <c r="X151" i="1" s="1"/>
  <c r="W151" i="1" a="1"/>
  <c r="W151" i="1" s="1"/>
  <c r="S151" i="1" a="1"/>
  <c r="S151" i="1" s="1"/>
  <c r="R151" i="1" a="1"/>
  <c r="R151" i="1" s="1"/>
  <c r="Q151" i="1" a="1"/>
  <c r="Q151" i="1" s="1"/>
  <c r="M151" i="1" a="1"/>
  <c r="M151" i="1"/>
  <c r="L151" i="1" a="1"/>
  <c r="L151" i="1" s="1"/>
  <c r="K151" i="1" a="1"/>
  <c r="K151" i="1" s="1"/>
  <c r="AK150" i="1" a="1"/>
  <c r="AK150" i="1" s="1"/>
  <c r="AJ150" i="1" a="1"/>
  <c r="AJ150" i="1"/>
  <c r="AI150" i="1" a="1"/>
  <c r="AI150" i="1" s="1"/>
  <c r="AE150" i="1" a="1"/>
  <c r="AE150" i="1" s="1"/>
  <c r="AD150" i="1" a="1"/>
  <c r="AD150" i="1" s="1"/>
  <c r="AC150" i="1" a="1"/>
  <c r="AC150" i="1" s="1"/>
  <c r="Y150" i="1" a="1"/>
  <c r="Y150" i="1" s="1"/>
  <c r="X150" i="1" a="1"/>
  <c r="X150" i="1" s="1"/>
  <c r="W150" i="1" a="1"/>
  <c r="W150" i="1"/>
  <c r="S150" i="1" a="1"/>
  <c r="S150" i="1" s="1"/>
  <c r="R150" i="1" a="1"/>
  <c r="R150" i="1" s="1"/>
  <c r="Q150" i="1" a="1"/>
  <c r="Q150" i="1"/>
  <c r="M150" i="1" a="1"/>
  <c r="M150" i="1" s="1"/>
  <c r="L150" i="1" a="1"/>
  <c r="L150" i="1" s="1"/>
  <c r="K150" i="1" a="1"/>
  <c r="K150" i="1" s="1"/>
  <c r="AK149" i="1" a="1"/>
  <c r="AK149" i="1" s="1"/>
  <c r="AJ149" i="1" a="1"/>
  <c r="AJ149" i="1" s="1"/>
  <c r="AI149" i="1" a="1"/>
  <c r="AI149" i="1" s="1"/>
  <c r="AE149" i="1" a="1"/>
  <c r="AE149" i="1" s="1"/>
  <c r="AD149" i="1" a="1"/>
  <c r="AD149" i="1" s="1"/>
  <c r="AC149" i="1" a="1"/>
  <c r="AC149" i="1"/>
  <c r="Y149" i="1" a="1"/>
  <c r="Y149" i="1" s="1"/>
  <c r="X149" i="1" a="1"/>
  <c r="X149" i="1" s="1"/>
  <c r="W149" i="1" a="1"/>
  <c r="W149" i="1" s="1"/>
  <c r="S149" i="1" a="1"/>
  <c r="S149" i="1"/>
  <c r="R149" i="1" a="1"/>
  <c r="R149" i="1" s="1"/>
  <c r="Q149" i="1" a="1"/>
  <c r="Q149" i="1" s="1"/>
  <c r="M149" i="1" a="1"/>
  <c r="M149" i="1" s="1"/>
  <c r="L149" i="1" a="1"/>
  <c r="L149" i="1" s="1"/>
  <c r="K149" i="1" a="1"/>
  <c r="K149" i="1" s="1"/>
  <c r="AK148" i="1" a="1"/>
  <c r="AK148" i="1" s="1"/>
  <c r="AJ148" i="1" a="1"/>
  <c r="AJ148" i="1"/>
  <c r="AI148" i="1" a="1"/>
  <c r="AI148" i="1" s="1"/>
  <c r="AE148" i="1" a="1"/>
  <c r="AE148" i="1" s="1"/>
  <c r="AD148" i="1" a="1"/>
  <c r="AD148" i="1" s="1"/>
  <c r="AC148" i="1" a="1"/>
  <c r="AC148" i="1" s="1"/>
  <c r="Y148" i="1" a="1"/>
  <c r="Y148" i="1" s="1"/>
  <c r="X148" i="1" a="1"/>
  <c r="X148" i="1" s="1"/>
  <c r="W148" i="1" a="1"/>
  <c r="W148" i="1" s="1"/>
  <c r="S148" i="1" a="1"/>
  <c r="S148" i="1" s="1"/>
  <c r="R148" i="1" a="1"/>
  <c r="R148" i="1"/>
  <c r="Q148" i="1" a="1"/>
  <c r="Q148" i="1" s="1"/>
  <c r="M148" i="1" a="1"/>
  <c r="M148" i="1" s="1"/>
  <c r="L148" i="1" a="1"/>
  <c r="L148" i="1"/>
  <c r="K148" i="1" a="1"/>
  <c r="K148" i="1" s="1"/>
  <c r="AK147" i="1" a="1"/>
  <c r="AK147" i="1" s="1"/>
  <c r="AJ147" i="1" a="1"/>
  <c r="AJ147" i="1" s="1"/>
  <c r="AI147" i="1" a="1"/>
  <c r="AI147" i="1" s="1"/>
  <c r="AE147" i="1" a="1"/>
  <c r="AE147" i="1" s="1"/>
  <c r="AD147" i="1" a="1"/>
  <c r="AD147" i="1"/>
  <c r="AC147" i="1" a="1"/>
  <c r="AC147" i="1" s="1"/>
  <c r="Y147" i="1" a="1"/>
  <c r="Y147" i="1" s="1"/>
  <c r="X147" i="1" a="1"/>
  <c r="X147" i="1" s="1"/>
  <c r="W147" i="1" a="1"/>
  <c r="W147" i="1"/>
  <c r="S147" i="1" a="1"/>
  <c r="S147" i="1" s="1"/>
  <c r="R147" i="1" a="1"/>
  <c r="R147" i="1" s="1"/>
  <c r="Q147" i="1" a="1"/>
  <c r="Q147" i="1" s="1"/>
  <c r="M147" i="1" a="1"/>
  <c r="M147" i="1" s="1"/>
  <c r="L147" i="1" a="1"/>
  <c r="L147" i="1" s="1"/>
  <c r="K147" i="1" a="1"/>
  <c r="K147" i="1" s="1"/>
  <c r="AK146" i="1" a="1"/>
  <c r="AK146" i="1" s="1"/>
  <c r="AJ146" i="1" a="1"/>
  <c r="AJ146" i="1"/>
  <c r="AI146" i="1" a="1"/>
  <c r="AI146" i="1" s="1"/>
  <c r="AE146" i="1" a="1"/>
  <c r="AE146" i="1"/>
  <c r="AD146" i="1" a="1"/>
  <c r="AD146" i="1" s="1"/>
  <c r="AC146" i="1" a="1"/>
  <c r="AC146" i="1"/>
  <c r="Y146" i="1" a="1"/>
  <c r="Y146" i="1" s="1"/>
  <c r="X146" i="1" a="1"/>
  <c r="X146" i="1" s="1"/>
  <c r="W146" i="1" a="1"/>
  <c r="W146" i="1" s="1"/>
  <c r="S146" i="1" a="1"/>
  <c r="S146" i="1" s="1"/>
  <c r="R146" i="1" a="1"/>
  <c r="R146" i="1" s="1"/>
  <c r="Q146" i="1" a="1"/>
  <c r="Q146" i="1" s="1"/>
  <c r="M146" i="1" a="1"/>
  <c r="M146" i="1"/>
  <c r="L146" i="1" a="1"/>
  <c r="L146" i="1" s="1"/>
  <c r="K146" i="1" a="1"/>
  <c r="K146" i="1" s="1"/>
  <c r="AK145" i="1" a="1"/>
  <c r="AK145" i="1"/>
  <c r="AJ145" i="1" a="1"/>
  <c r="AJ145" i="1" s="1"/>
  <c r="AI145" i="1" a="1"/>
  <c r="AI145" i="1" s="1"/>
  <c r="AE145" i="1" a="1"/>
  <c r="AE145" i="1" s="1"/>
  <c r="AD145" i="1" a="1"/>
  <c r="AD145" i="1" s="1"/>
  <c r="AC145" i="1" a="1"/>
  <c r="AC145" i="1" s="1"/>
  <c r="Y145" i="1" a="1"/>
  <c r="Y145" i="1"/>
  <c r="X145" i="1" a="1"/>
  <c r="X145" i="1" s="1"/>
  <c r="W145" i="1" a="1"/>
  <c r="W145" i="1" s="1"/>
  <c r="S145" i="1" a="1"/>
  <c r="S145" i="1"/>
  <c r="R145" i="1" a="1"/>
  <c r="R145" i="1" s="1"/>
  <c r="Q145" i="1" a="1"/>
  <c r="Q145" i="1" s="1"/>
  <c r="M145" i="1" a="1"/>
  <c r="M145" i="1" s="1"/>
  <c r="L145" i="1" a="1"/>
  <c r="L145" i="1"/>
  <c r="K145" i="1" a="1"/>
  <c r="K145" i="1" s="1"/>
  <c r="AK144" i="1" a="1"/>
  <c r="AK144" i="1" s="1"/>
  <c r="AJ144" i="1" a="1"/>
  <c r="AJ144" i="1" s="1"/>
  <c r="AI144" i="1" a="1"/>
  <c r="AI144" i="1" s="1"/>
  <c r="AE144" i="1" a="1"/>
  <c r="AE144" i="1" s="1"/>
  <c r="AD144" i="1" a="1"/>
  <c r="AD144" i="1" s="1"/>
  <c r="AC144" i="1" a="1"/>
  <c r="AC144" i="1"/>
  <c r="Y144" i="1" a="1"/>
  <c r="Y144" i="1" s="1"/>
  <c r="X144" i="1" a="1"/>
  <c r="X144" i="1" s="1"/>
  <c r="W144" i="1" a="1"/>
  <c r="W144" i="1" s="1"/>
  <c r="S144" i="1" a="1"/>
  <c r="S144" i="1" s="1"/>
  <c r="R144" i="1" a="1"/>
  <c r="R144" i="1" s="1"/>
  <c r="Q144" i="1" a="1"/>
  <c r="Q144" i="1" s="1"/>
  <c r="M144" i="1" a="1"/>
  <c r="M144" i="1" s="1"/>
  <c r="L144" i="1" a="1"/>
  <c r="L144" i="1" s="1"/>
  <c r="K144" i="1" a="1"/>
  <c r="K144" i="1"/>
  <c r="AK143" i="1" a="1"/>
  <c r="AK143" i="1" s="1"/>
  <c r="AJ143" i="1" a="1"/>
  <c r="AJ143" i="1" s="1"/>
  <c r="AI143" i="1" a="1"/>
  <c r="AI143" i="1"/>
  <c r="AE143" i="1" a="1"/>
  <c r="AE143" i="1" s="1"/>
  <c r="AD143" i="1" a="1"/>
  <c r="AD143" i="1" s="1"/>
  <c r="AC143" i="1" a="1"/>
  <c r="AC143" i="1" s="1"/>
  <c r="Y143" i="1" a="1"/>
  <c r="Y143" i="1" s="1"/>
  <c r="X143" i="1" a="1"/>
  <c r="X143" i="1" s="1"/>
  <c r="W143" i="1" a="1"/>
  <c r="W143" i="1"/>
  <c r="S143" i="1" a="1"/>
  <c r="S143" i="1" s="1"/>
  <c r="R143" i="1" a="1"/>
  <c r="R143" i="1" s="1"/>
  <c r="Q143" i="1" a="1"/>
  <c r="Q143" i="1" s="1"/>
  <c r="M143" i="1" a="1"/>
  <c r="M143" i="1"/>
  <c r="L143" i="1" a="1"/>
  <c r="L143" i="1" s="1"/>
  <c r="K143" i="1" a="1"/>
  <c r="K143" i="1" s="1"/>
  <c r="AK142" i="1" a="1"/>
  <c r="AK142" i="1" s="1"/>
  <c r="AJ142" i="1" a="1"/>
  <c r="AJ142" i="1" s="1"/>
  <c r="AI142" i="1" a="1"/>
  <c r="AI142" i="1" s="1"/>
  <c r="AE142" i="1" a="1"/>
  <c r="AE142" i="1" s="1"/>
  <c r="AD142" i="1" a="1"/>
  <c r="AD142" i="1" s="1"/>
  <c r="AC142" i="1" a="1"/>
  <c r="AC142" i="1"/>
  <c r="Y142" i="1" a="1"/>
  <c r="Y142" i="1" s="1"/>
  <c r="X142" i="1" a="1"/>
  <c r="X142" i="1"/>
  <c r="W142" i="1" a="1"/>
  <c r="W142" i="1" s="1"/>
  <c r="S142" i="1" a="1"/>
  <c r="S142" i="1"/>
  <c r="R142" i="1" a="1"/>
  <c r="R142" i="1" s="1"/>
  <c r="Q142" i="1" a="1"/>
  <c r="Q142" i="1" s="1"/>
  <c r="M142" i="1" a="1"/>
  <c r="M142" i="1" s="1"/>
  <c r="L142" i="1" a="1"/>
  <c r="L142" i="1" s="1"/>
  <c r="K142" i="1" a="1"/>
  <c r="K142" i="1" s="1"/>
  <c r="AK141" i="1" a="1"/>
  <c r="AK141" i="1" s="1"/>
  <c r="AJ141" i="1" a="1"/>
  <c r="AJ141" i="1"/>
  <c r="AI141" i="1" a="1"/>
  <c r="AI141" i="1" s="1"/>
  <c r="AE141" i="1" a="1"/>
  <c r="AE141" i="1" s="1"/>
  <c r="AD141" i="1" a="1"/>
  <c r="AD141" i="1"/>
  <c r="AC141" i="1" a="1"/>
  <c r="AC141" i="1" s="1"/>
  <c r="Y141" i="1" a="1"/>
  <c r="Y141" i="1" s="1"/>
  <c r="X141" i="1" a="1"/>
  <c r="X141" i="1" s="1"/>
  <c r="W141" i="1" a="1"/>
  <c r="W141" i="1" s="1"/>
  <c r="S141" i="1" a="1"/>
  <c r="S141" i="1" s="1"/>
  <c r="R141" i="1" a="1"/>
  <c r="R141" i="1" s="1"/>
  <c r="Q141" i="1" a="1"/>
  <c r="Q141" i="1" s="1"/>
  <c r="M141" i="1" a="1"/>
  <c r="M141" i="1" s="1"/>
  <c r="L141" i="1" a="1"/>
  <c r="L141" i="1"/>
  <c r="K141" i="1" a="1"/>
  <c r="K141" i="1" s="1"/>
  <c r="AK140" i="1" a="1"/>
  <c r="AK140" i="1" s="1"/>
  <c r="AJ140" i="1" a="1"/>
  <c r="AJ140" i="1" s="1"/>
  <c r="AI140" i="1" a="1"/>
  <c r="AI140" i="1"/>
  <c r="AE140" i="1" a="1"/>
  <c r="AE140" i="1" s="1"/>
  <c r="AD140" i="1" a="1"/>
  <c r="AD140" i="1" s="1"/>
  <c r="AC140" i="1" a="1"/>
  <c r="AC140" i="1" s="1"/>
  <c r="Y140" i="1" a="1"/>
  <c r="Y140" i="1" s="1"/>
  <c r="X140" i="1" a="1"/>
  <c r="X140" i="1" s="1"/>
  <c r="W140" i="1" a="1"/>
  <c r="W140" i="1" s="1"/>
  <c r="S140" i="1" a="1"/>
  <c r="S140" i="1"/>
  <c r="R140" i="1" a="1"/>
  <c r="R140" i="1" s="1"/>
  <c r="Q140" i="1" a="1"/>
  <c r="Q140" i="1" s="1"/>
  <c r="M140" i="1" a="1"/>
  <c r="M140" i="1" s="1"/>
  <c r="L140" i="1" a="1"/>
  <c r="L140" i="1" s="1"/>
  <c r="K140" i="1" a="1"/>
  <c r="K140" i="1" s="1"/>
  <c r="AK139" i="1" a="1"/>
  <c r="AK139" i="1" s="1"/>
  <c r="AJ139" i="1" a="1"/>
  <c r="AJ139" i="1" s="1"/>
  <c r="AI139" i="1" a="1"/>
  <c r="AI139" i="1" s="1"/>
  <c r="AE139" i="1" a="1"/>
  <c r="AE139" i="1"/>
  <c r="AD139" i="1" a="1"/>
  <c r="AD139" i="1" s="1"/>
  <c r="AC139" i="1" a="1"/>
  <c r="AC139" i="1" s="1"/>
  <c r="Y139" i="1" a="1"/>
  <c r="Y139" i="1"/>
  <c r="X139" i="1" a="1"/>
  <c r="X139" i="1" s="1"/>
  <c r="W139" i="1" a="1"/>
  <c r="W139" i="1" s="1"/>
  <c r="S139" i="1" a="1"/>
  <c r="S139" i="1" s="1"/>
  <c r="R139" i="1" a="1"/>
  <c r="R139" i="1" s="1"/>
  <c r="Q139" i="1" a="1"/>
  <c r="Q139" i="1" s="1"/>
  <c r="M139" i="1" a="1"/>
  <c r="M139" i="1"/>
  <c r="L139" i="1" a="1"/>
  <c r="L139" i="1" s="1"/>
  <c r="K139" i="1" a="1"/>
  <c r="K139" i="1" s="1"/>
  <c r="AK138" i="1" a="1"/>
  <c r="AK138" i="1" s="1"/>
  <c r="AJ138" i="1" a="1"/>
  <c r="AJ138" i="1"/>
  <c r="AI138" i="1" a="1"/>
  <c r="AI138" i="1" s="1"/>
  <c r="AE138" i="1" a="1"/>
  <c r="AE138" i="1" s="1"/>
  <c r="AD138" i="1" a="1"/>
  <c r="AD138" i="1" s="1"/>
  <c r="AC138" i="1" a="1"/>
  <c r="AC138" i="1" s="1"/>
  <c r="Y138" i="1" a="1"/>
  <c r="Y138" i="1" s="1"/>
  <c r="X138" i="1" a="1"/>
  <c r="X138" i="1" s="1"/>
  <c r="W138" i="1" a="1"/>
  <c r="W138" i="1" s="1"/>
  <c r="S138" i="1" a="1"/>
  <c r="S138" i="1"/>
  <c r="R138" i="1" a="1"/>
  <c r="R138" i="1" s="1"/>
  <c r="Q138" i="1" a="1"/>
  <c r="Q138" i="1" s="1"/>
  <c r="M138" i="1" a="1"/>
  <c r="M138" i="1" s="1"/>
  <c r="L138" i="1" a="1"/>
  <c r="L138" i="1" s="1"/>
  <c r="K138" i="1" a="1"/>
  <c r="K138" i="1" s="1"/>
  <c r="AK137" i="1" a="1"/>
  <c r="AK137" i="1"/>
  <c r="AJ137" i="1" a="1"/>
  <c r="AJ137" i="1" s="1"/>
  <c r="AI137" i="1" a="1"/>
  <c r="AI137" i="1" s="1"/>
  <c r="AE137" i="1" a="1"/>
  <c r="AE137" i="1" s="1"/>
  <c r="AD137" i="1" a="1"/>
  <c r="AD137" i="1" s="1"/>
  <c r="AC137" i="1" a="1"/>
  <c r="AC137" i="1" s="1"/>
  <c r="Y137" i="1" a="1"/>
  <c r="Y137" i="1" s="1"/>
  <c r="X137" i="1" a="1"/>
  <c r="X137" i="1" s="1"/>
  <c r="W137" i="1" a="1"/>
  <c r="W137" i="1" s="1"/>
  <c r="S137" i="1" a="1"/>
  <c r="S137" i="1"/>
  <c r="R137" i="1" a="1"/>
  <c r="R137" i="1" s="1"/>
  <c r="Q137" i="1" a="1"/>
  <c r="Q137" i="1" s="1"/>
  <c r="M137" i="1" a="1"/>
  <c r="M137" i="1" s="1"/>
  <c r="L137" i="1" a="1"/>
  <c r="L137" i="1" s="1"/>
  <c r="K137" i="1" a="1"/>
  <c r="K137" i="1" s="1"/>
  <c r="AK136" i="1" a="1"/>
  <c r="AK136" i="1" s="1"/>
  <c r="AJ136" i="1" a="1"/>
  <c r="AJ136" i="1" s="1"/>
  <c r="AI136" i="1" a="1"/>
  <c r="AI136" i="1" s="1"/>
  <c r="AE136" i="1" a="1"/>
  <c r="AE136" i="1"/>
  <c r="AD136" i="1" a="1"/>
  <c r="AD136" i="1" s="1"/>
  <c r="AC136" i="1" a="1"/>
  <c r="AC136" i="1" s="1"/>
  <c r="Y136" i="1" a="1"/>
  <c r="Y136" i="1" s="1"/>
  <c r="X136" i="1" a="1"/>
  <c r="X136" i="1" s="1"/>
  <c r="W136" i="1" a="1"/>
  <c r="W136" i="1" s="1"/>
  <c r="S136" i="1" a="1"/>
  <c r="S136" i="1" s="1"/>
  <c r="R136" i="1" a="1"/>
  <c r="R136" i="1" s="1"/>
  <c r="Q136" i="1" a="1"/>
  <c r="Q136" i="1"/>
  <c r="M136" i="1" a="1"/>
  <c r="M136" i="1" s="1"/>
  <c r="L136" i="1" a="1"/>
  <c r="L136" i="1"/>
  <c r="K136" i="1" a="1"/>
  <c r="K136" i="1" s="1"/>
  <c r="AK135" i="1" a="1"/>
  <c r="AK135" i="1" s="1"/>
  <c r="AJ135" i="1" a="1"/>
  <c r="AJ135" i="1" s="1"/>
  <c r="AI135" i="1" a="1"/>
  <c r="AI135" i="1"/>
  <c r="AE135" i="1" a="1"/>
  <c r="AE135" i="1" s="1"/>
  <c r="AD135" i="1" a="1"/>
  <c r="AD135" i="1" s="1"/>
  <c r="AC135" i="1" a="1"/>
  <c r="AC135" i="1" s="1"/>
  <c r="Y135" i="1" a="1"/>
  <c r="Y135" i="1" s="1"/>
  <c r="X135" i="1" a="1"/>
  <c r="X135" i="1"/>
  <c r="W135" i="1" a="1"/>
  <c r="W135" i="1" s="1"/>
  <c r="S135" i="1" a="1"/>
  <c r="S135" i="1" s="1"/>
  <c r="R135" i="1" a="1"/>
  <c r="R135" i="1"/>
  <c r="Q135" i="1" a="1"/>
  <c r="Q135" i="1" s="1"/>
  <c r="M135" i="1" a="1"/>
  <c r="M135" i="1"/>
  <c r="L135" i="1" a="1"/>
  <c r="L135" i="1" s="1"/>
  <c r="K135" i="1" a="1"/>
  <c r="K135" i="1" s="1"/>
  <c r="AK134" i="1" a="1"/>
  <c r="AK134" i="1" s="1"/>
  <c r="AJ134" i="1" a="1"/>
  <c r="AJ134" i="1" s="1"/>
  <c r="AI134" i="1" a="1"/>
  <c r="AI134" i="1" s="1"/>
  <c r="AE134" i="1" a="1"/>
  <c r="AE134" i="1" s="1"/>
  <c r="AD134" i="1" a="1"/>
  <c r="AD134" i="1"/>
  <c r="AC134" i="1" a="1"/>
  <c r="AC134" i="1" s="1"/>
  <c r="Y134" i="1" a="1"/>
  <c r="Y134" i="1" s="1"/>
  <c r="X134" i="1" a="1"/>
  <c r="X134" i="1" s="1"/>
  <c r="W134" i="1" a="1"/>
  <c r="W134" i="1" s="1"/>
  <c r="S134" i="1" a="1"/>
  <c r="S134" i="1" s="1"/>
  <c r="R134" i="1" a="1"/>
  <c r="R134" i="1" s="1"/>
  <c r="Q134" i="1" a="1"/>
  <c r="Q134" i="1" s="1"/>
  <c r="M134" i="1" a="1"/>
  <c r="M134" i="1" s="1"/>
  <c r="L134" i="1" a="1"/>
  <c r="L134" i="1" s="1"/>
  <c r="K134" i="1" a="1"/>
  <c r="K134" i="1" s="1"/>
  <c r="AK133" i="1" a="1"/>
  <c r="AK133" i="1"/>
  <c r="AJ133" i="1" a="1"/>
  <c r="AJ133" i="1" s="1"/>
  <c r="AI133" i="1" a="1"/>
  <c r="AI133" i="1" s="1"/>
  <c r="AE133" i="1" a="1"/>
  <c r="AE133" i="1" s="1"/>
  <c r="AD133" i="1" a="1"/>
  <c r="AD133" i="1" s="1"/>
  <c r="AC133" i="1" a="1"/>
  <c r="AC133" i="1" s="1"/>
  <c r="Y133" i="1" a="1"/>
  <c r="Y133" i="1" s="1"/>
  <c r="X133" i="1" a="1"/>
  <c r="X133" i="1" s="1"/>
  <c r="W133" i="1" a="1"/>
  <c r="W133" i="1" s="1"/>
  <c r="S133" i="1" a="1"/>
  <c r="S133" i="1" s="1"/>
  <c r="R133" i="1" a="1"/>
  <c r="R133" i="1" s="1"/>
  <c r="Q133" i="1" a="1"/>
  <c r="Q133" i="1" s="1"/>
  <c r="M133" i="1" a="1"/>
  <c r="M133" i="1" s="1"/>
  <c r="L133" i="1" a="1"/>
  <c r="L133" i="1"/>
  <c r="K133" i="1" a="1"/>
  <c r="K133" i="1" s="1"/>
  <c r="AK132" i="1" a="1"/>
  <c r="AK132" i="1" s="1"/>
  <c r="AJ132" i="1" a="1"/>
  <c r="AJ132" i="1" s="1"/>
  <c r="AI132" i="1" a="1"/>
  <c r="AI132" i="1" s="1"/>
  <c r="AE132" i="1" a="1"/>
  <c r="AE132" i="1"/>
  <c r="AD132" i="1" a="1"/>
  <c r="AD132" i="1" s="1"/>
  <c r="AC132" i="1" a="1"/>
  <c r="AC132" i="1" s="1"/>
  <c r="Y132" i="1" a="1"/>
  <c r="Y132" i="1" s="1"/>
  <c r="X132" i="1" a="1"/>
  <c r="X132" i="1" s="1"/>
  <c r="W132" i="1" a="1"/>
  <c r="W132" i="1" s="1"/>
  <c r="S132" i="1" a="1"/>
  <c r="S132" i="1" s="1"/>
  <c r="R132" i="1" a="1"/>
  <c r="R132" i="1" s="1"/>
  <c r="Q132" i="1" a="1"/>
  <c r="Q132" i="1" s="1"/>
  <c r="M132" i="1" a="1"/>
  <c r="M132" i="1" s="1"/>
  <c r="L132" i="1" a="1"/>
  <c r="L132" i="1"/>
  <c r="K132" i="1" a="1"/>
  <c r="K132" i="1" s="1"/>
  <c r="AK131" i="1" a="1"/>
  <c r="AK131" i="1"/>
  <c r="AJ131" i="1" a="1"/>
  <c r="AJ131" i="1" s="1"/>
  <c r="AI131" i="1" a="1"/>
  <c r="AI131" i="1" s="1"/>
  <c r="AE131" i="1" a="1"/>
  <c r="AE131" i="1" s="1"/>
  <c r="AD131" i="1" a="1"/>
  <c r="AD131" i="1" s="1"/>
  <c r="AC131" i="1" a="1"/>
  <c r="AC131" i="1" s="1"/>
  <c r="Y131" i="1" a="1"/>
  <c r="Y131" i="1"/>
  <c r="X131" i="1" a="1"/>
  <c r="X131" i="1" s="1"/>
  <c r="W131" i="1" a="1"/>
  <c r="W131" i="1" s="1"/>
  <c r="S131" i="1" a="1"/>
  <c r="S131" i="1" s="1"/>
  <c r="R131" i="1" a="1"/>
  <c r="R131" i="1" s="1"/>
  <c r="Q131" i="1" a="1"/>
  <c r="Q131" i="1" s="1"/>
  <c r="M131" i="1" a="1"/>
  <c r="M131" i="1" s="1"/>
  <c r="L131" i="1" a="1"/>
  <c r="L131" i="1" s="1"/>
  <c r="K131" i="1" a="1"/>
  <c r="K131" i="1"/>
  <c r="AK130" i="1" a="1"/>
  <c r="AK130" i="1" s="1"/>
  <c r="AJ130" i="1" a="1"/>
  <c r="AJ130" i="1"/>
  <c r="AI130" i="1" a="1"/>
  <c r="AI130" i="1" s="1"/>
  <c r="AE130" i="1" a="1"/>
  <c r="AE130" i="1" s="1"/>
  <c r="AD130" i="1" a="1"/>
  <c r="AD130" i="1" s="1"/>
  <c r="AC130" i="1" a="1"/>
  <c r="AC130" i="1" s="1"/>
  <c r="Y130" i="1" a="1"/>
  <c r="Y130" i="1" s="1"/>
  <c r="X130" i="1" a="1"/>
  <c r="X130" i="1" s="1"/>
  <c r="W130" i="1" a="1"/>
  <c r="W130" i="1"/>
  <c r="S130" i="1" a="1"/>
  <c r="S130" i="1" s="1"/>
  <c r="R130" i="1" a="1"/>
  <c r="R130" i="1" s="1"/>
  <c r="Q130" i="1" a="1"/>
  <c r="Q130" i="1" s="1"/>
  <c r="M130" i="1" a="1"/>
  <c r="M130" i="1" s="1"/>
  <c r="L130" i="1" a="1"/>
  <c r="L130" i="1" s="1"/>
  <c r="K130" i="1" a="1"/>
  <c r="K130" i="1" s="1"/>
  <c r="AK129" i="1" a="1"/>
  <c r="AK129" i="1" s="1"/>
  <c r="AJ129" i="1" a="1"/>
  <c r="AJ129" i="1" s="1"/>
  <c r="AI129" i="1" a="1"/>
  <c r="AI129" i="1"/>
  <c r="AE129" i="1" a="1"/>
  <c r="AE129" i="1" s="1"/>
  <c r="AD129" i="1" a="1"/>
  <c r="AD129" i="1" s="1"/>
  <c r="AC129" i="1" a="1"/>
  <c r="AC129" i="1" s="1"/>
  <c r="Y129" i="1" a="1"/>
  <c r="Y129" i="1" s="1"/>
  <c r="X129" i="1" a="1"/>
  <c r="X129" i="1" s="1"/>
  <c r="W129" i="1" a="1"/>
  <c r="W129" i="1" s="1"/>
  <c r="S129" i="1" a="1"/>
  <c r="S129" i="1" s="1"/>
  <c r="R129" i="1" a="1"/>
  <c r="R129" i="1" s="1"/>
  <c r="Q129" i="1" a="1"/>
  <c r="Q129" i="1"/>
  <c r="M129" i="1" a="1"/>
  <c r="M129" i="1" s="1"/>
  <c r="L129" i="1" a="1"/>
  <c r="L129" i="1" s="1"/>
  <c r="K129" i="1" a="1"/>
  <c r="K129" i="1" s="1"/>
  <c r="AK128" i="1" a="1"/>
  <c r="AK128" i="1"/>
  <c r="AJ128" i="1" a="1"/>
  <c r="AJ128" i="1"/>
  <c r="AI128" i="1" a="1"/>
  <c r="AI128" i="1"/>
  <c r="AE128" i="1" a="1"/>
  <c r="AE128" i="1" s="1"/>
  <c r="AD128" i="1" a="1"/>
  <c r="AD128" i="1" s="1"/>
  <c r="AC128" i="1" a="1"/>
  <c r="AC128" i="1" s="1"/>
  <c r="Y128" i="1" a="1"/>
  <c r="Y128" i="1" s="1"/>
  <c r="X128" i="1" a="1"/>
  <c r="X128" i="1" s="1"/>
  <c r="W128" i="1" a="1"/>
  <c r="W128" i="1" s="1"/>
  <c r="S128" i="1" a="1"/>
  <c r="S128" i="1"/>
  <c r="R128" i="1" a="1"/>
  <c r="R128" i="1" s="1"/>
  <c r="Q128" i="1" a="1"/>
  <c r="Q128" i="1" s="1"/>
  <c r="M128" i="1" a="1"/>
  <c r="M128" i="1"/>
  <c r="L128" i="1" a="1"/>
  <c r="L128" i="1" s="1"/>
  <c r="K128" i="1" a="1"/>
  <c r="K128" i="1" s="1"/>
  <c r="AK127" i="1" a="1"/>
  <c r="AK127" i="1" s="1"/>
  <c r="AJ127" i="1" a="1"/>
  <c r="AJ127" i="1" s="1"/>
  <c r="AI127" i="1" a="1"/>
  <c r="AI127" i="1" s="1"/>
  <c r="AE127" i="1" a="1"/>
  <c r="AE127" i="1"/>
  <c r="AD127" i="1" a="1"/>
  <c r="AD127" i="1" s="1"/>
  <c r="AC127" i="1" a="1"/>
  <c r="AC127" i="1" s="1"/>
  <c r="Y127" i="1" a="1"/>
  <c r="Y127" i="1" s="1"/>
  <c r="X127" i="1" a="1"/>
  <c r="X127" i="1" s="1"/>
  <c r="W127" i="1" a="1"/>
  <c r="W127" i="1" s="1"/>
  <c r="S127" i="1" a="1"/>
  <c r="S127" i="1"/>
  <c r="R127" i="1" a="1"/>
  <c r="R127" i="1" s="1"/>
  <c r="Q127" i="1" a="1"/>
  <c r="Q127" i="1" s="1"/>
  <c r="M127" i="1" a="1"/>
  <c r="M127" i="1" s="1"/>
  <c r="L127" i="1" a="1"/>
  <c r="L127" i="1" s="1"/>
  <c r="K127" i="1" a="1"/>
  <c r="K127" i="1" s="1"/>
  <c r="AK126" i="1" a="1"/>
  <c r="AK126" i="1"/>
  <c r="AJ126" i="1" a="1"/>
  <c r="AJ126" i="1" s="1"/>
  <c r="AI126" i="1" a="1"/>
  <c r="AI126" i="1"/>
  <c r="AE126" i="1" a="1"/>
  <c r="AE126" i="1" s="1"/>
  <c r="AD126" i="1" a="1"/>
  <c r="AD126" i="1"/>
  <c r="AC126" i="1" a="1"/>
  <c r="AC126" i="1" s="1"/>
  <c r="Y126" i="1" a="1"/>
  <c r="Y126" i="1" s="1"/>
  <c r="X126" i="1" a="1"/>
  <c r="X126" i="1" s="1"/>
  <c r="W126" i="1" a="1"/>
  <c r="W126" i="1" s="1"/>
  <c r="S126" i="1" a="1"/>
  <c r="S126" i="1" s="1"/>
  <c r="R126" i="1" a="1"/>
  <c r="R126" i="1" s="1"/>
  <c r="Q126" i="1" a="1"/>
  <c r="Q126" i="1"/>
  <c r="M126" i="1" a="1"/>
  <c r="M126" i="1" s="1"/>
  <c r="L126" i="1" a="1"/>
  <c r="L126" i="1" s="1"/>
  <c r="K126" i="1" a="1"/>
  <c r="K126" i="1" s="1"/>
  <c r="AK125" i="1" a="1"/>
  <c r="AK125" i="1" s="1"/>
  <c r="AJ125" i="1" a="1"/>
  <c r="AJ125" i="1" s="1"/>
  <c r="AI125" i="1" a="1"/>
  <c r="AI125" i="1" s="1"/>
  <c r="AE125" i="1" a="1"/>
  <c r="AE125" i="1"/>
  <c r="AD125" i="1" a="1"/>
  <c r="AD125" i="1" s="1"/>
  <c r="AC125" i="1" a="1"/>
  <c r="AC125" i="1" s="1"/>
  <c r="Y125" i="1" a="1"/>
  <c r="Y125" i="1" s="1"/>
  <c r="X125" i="1" a="1"/>
  <c r="X125" i="1" s="1"/>
  <c r="W125" i="1" a="1"/>
  <c r="W125" i="1"/>
  <c r="S125" i="1" a="1"/>
  <c r="S125" i="1" s="1"/>
  <c r="R125" i="1" a="1"/>
  <c r="R125" i="1" s="1"/>
  <c r="Q125" i="1" a="1"/>
  <c r="Q125" i="1" s="1"/>
  <c r="M125" i="1" a="1"/>
  <c r="M125" i="1"/>
  <c r="L125" i="1" a="1"/>
  <c r="L125" i="1" s="1"/>
  <c r="K125" i="1" a="1"/>
  <c r="K125" i="1" s="1"/>
  <c r="AK124" i="1" a="1"/>
  <c r="AK124" i="1" s="1"/>
  <c r="AJ124" i="1" a="1"/>
  <c r="AJ124" i="1" s="1"/>
  <c r="AI124" i="1" a="1"/>
  <c r="AI124" i="1" s="1"/>
  <c r="AE124" i="1" a="1"/>
  <c r="AE124" i="1" s="1"/>
  <c r="AD124" i="1" a="1"/>
  <c r="AD124" i="1"/>
  <c r="AC124" i="1" a="1"/>
  <c r="AC124" i="1"/>
  <c r="Y124" i="1" a="1"/>
  <c r="Y124" i="1"/>
  <c r="X124" i="1" a="1"/>
  <c r="X124" i="1" s="1"/>
  <c r="W124" i="1" a="1"/>
  <c r="W124" i="1" s="1"/>
  <c r="S124" i="1" a="1"/>
  <c r="S124" i="1" s="1"/>
  <c r="R124" i="1" a="1"/>
  <c r="R124" i="1" s="1"/>
  <c r="Q124" i="1" a="1"/>
  <c r="Q124" i="1" s="1"/>
  <c r="M124" i="1" a="1"/>
  <c r="M124" i="1" s="1"/>
  <c r="L124" i="1" a="1"/>
  <c r="L124" i="1"/>
  <c r="K124" i="1" a="1"/>
  <c r="K124" i="1" s="1"/>
  <c r="AK123" i="1" a="1"/>
  <c r="AK123" i="1" s="1"/>
  <c r="AJ123" i="1" a="1"/>
  <c r="AJ123" i="1"/>
  <c r="AI123" i="1" a="1"/>
  <c r="AI123" i="1" s="1"/>
  <c r="AE123" i="1" a="1"/>
  <c r="AE123" i="1" s="1"/>
  <c r="AD123" i="1" a="1"/>
  <c r="AD123" i="1" s="1"/>
  <c r="AC123" i="1" a="1"/>
  <c r="AC123" i="1" s="1"/>
  <c r="Y123" i="1" a="1"/>
  <c r="Y123" i="1" s="1"/>
  <c r="X123" i="1" a="1"/>
  <c r="X123" i="1"/>
  <c r="W123" i="1" a="1"/>
  <c r="W123" i="1" s="1"/>
  <c r="S123" i="1" a="1"/>
  <c r="S123" i="1" s="1"/>
  <c r="R123" i="1" a="1"/>
  <c r="R123" i="1"/>
  <c r="Q123" i="1" a="1"/>
  <c r="Q123" i="1" s="1"/>
  <c r="M123" i="1" a="1"/>
  <c r="M123" i="1" s="1"/>
  <c r="L123" i="1" a="1"/>
  <c r="L123" i="1"/>
  <c r="K123" i="1" a="1"/>
  <c r="K123" i="1" s="1"/>
  <c r="AK122" i="1" a="1"/>
  <c r="AK122" i="1" s="1"/>
  <c r="AJ122" i="1" a="1"/>
  <c r="AJ122" i="1" s="1"/>
  <c r="AI122" i="1" a="1"/>
  <c r="AI122" i="1" s="1"/>
  <c r="AE122" i="1" a="1"/>
  <c r="AE122" i="1" s="1"/>
  <c r="AD122" i="1" a="1"/>
  <c r="AD122" i="1"/>
  <c r="AC122" i="1" a="1"/>
  <c r="AC122" i="1" s="1"/>
  <c r="Y122" i="1" a="1"/>
  <c r="Y122" i="1"/>
  <c r="X122" i="1" a="1"/>
  <c r="X122" i="1"/>
  <c r="W122" i="1" a="1"/>
  <c r="W122" i="1" s="1"/>
  <c r="S122" i="1" a="1"/>
  <c r="S122" i="1" s="1"/>
  <c r="R122" i="1" a="1"/>
  <c r="R122" i="1" s="1"/>
  <c r="Q122" i="1" a="1"/>
  <c r="Q122" i="1" s="1"/>
  <c r="M122" i="1" a="1"/>
  <c r="M122" i="1" s="1"/>
  <c r="L122" i="1" a="1"/>
  <c r="L122" i="1" s="1"/>
  <c r="K122" i="1" a="1"/>
  <c r="K122" i="1" s="1"/>
  <c r="AK121" i="1" a="1"/>
  <c r="AK121" i="1" s="1"/>
  <c r="AJ121" i="1" a="1"/>
  <c r="AJ121" i="1"/>
  <c r="AI121" i="1" a="1"/>
  <c r="AI121" i="1" s="1"/>
  <c r="AE121" i="1" a="1"/>
  <c r="AE121" i="1"/>
  <c r="AD121" i="1" a="1"/>
  <c r="AD121" i="1" s="1"/>
  <c r="AC121" i="1" a="1"/>
  <c r="AC121" i="1" s="1"/>
  <c r="Y121" i="1" a="1"/>
  <c r="Y121" i="1" s="1"/>
  <c r="X121" i="1" a="1"/>
  <c r="X121" i="1" s="1"/>
  <c r="W121" i="1" a="1"/>
  <c r="W121" i="1" s="1"/>
  <c r="S121" i="1" a="1"/>
  <c r="S121" i="1"/>
  <c r="R121" i="1" a="1"/>
  <c r="R121" i="1" s="1"/>
  <c r="Q121" i="1" a="1"/>
  <c r="Q121" i="1" s="1"/>
  <c r="M121" i="1" a="1"/>
  <c r="M121" i="1" s="1"/>
  <c r="L121" i="1" a="1"/>
  <c r="L121" i="1" s="1"/>
  <c r="K121" i="1" a="1"/>
  <c r="K121" i="1" s="1"/>
  <c r="AK120" i="1" a="1"/>
  <c r="AK120" i="1"/>
  <c r="AJ120" i="1" a="1"/>
  <c r="AJ120" i="1" s="1"/>
  <c r="AI120" i="1" a="1"/>
  <c r="AI120" i="1" s="1"/>
  <c r="AE120" i="1" a="1"/>
  <c r="AE120" i="1" s="1"/>
  <c r="AD120" i="1" a="1"/>
  <c r="AD120" i="1" s="1"/>
  <c r="AC120" i="1" a="1"/>
  <c r="AC120" i="1" s="1"/>
  <c r="Y120" i="1" a="1"/>
  <c r="Y120" i="1"/>
  <c r="X120" i="1" a="1"/>
  <c r="X120" i="1" s="1"/>
  <c r="W120" i="1" a="1"/>
  <c r="W120" i="1" s="1"/>
  <c r="S120" i="1" a="1"/>
  <c r="S120" i="1" s="1"/>
  <c r="R120" i="1" a="1"/>
  <c r="R120" i="1" s="1"/>
  <c r="Q120" i="1" a="1"/>
  <c r="Q120" i="1" s="1"/>
  <c r="M120" i="1" a="1"/>
  <c r="M120" i="1" s="1"/>
  <c r="L120" i="1" a="1"/>
  <c r="L120" i="1" s="1"/>
  <c r="K120" i="1" a="1"/>
  <c r="K120" i="1" s="1"/>
  <c r="AK119" i="1" a="1"/>
  <c r="AK119" i="1" s="1"/>
  <c r="AJ119" i="1" a="1"/>
  <c r="AJ119" i="1" s="1"/>
  <c r="AI119" i="1" a="1"/>
  <c r="AI119" i="1" s="1"/>
  <c r="AE119" i="1" a="1"/>
  <c r="AE119" i="1"/>
  <c r="AD119" i="1" a="1"/>
  <c r="AD119" i="1" s="1"/>
  <c r="AC119" i="1" a="1"/>
  <c r="AC119" i="1" s="1"/>
  <c r="Y119" i="1" a="1"/>
  <c r="Y119" i="1" s="1"/>
  <c r="X119" i="1" a="1"/>
  <c r="X119" i="1" s="1"/>
  <c r="W119" i="1" a="1"/>
  <c r="W119" i="1" s="1"/>
  <c r="S119" i="1" a="1"/>
  <c r="S119" i="1" s="1"/>
  <c r="R119" i="1" a="1"/>
  <c r="R119" i="1" s="1"/>
  <c r="Q119" i="1" a="1"/>
  <c r="Q119" i="1"/>
  <c r="M119" i="1" a="1"/>
  <c r="M119" i="1" s="1"/>
  <c r="L119" i="1" a="1"/>
  <c r="L119" i="1" s="1"/>
  <c r="K119" i="1" a="1"/>
  <c r="K119" i="1" s="1"/>
  <c r="AK118" i="1" a="1"/>
  <c r="AK118" i="1" s="1"/>
  <c r="AJ118" i="1" a="1"/>
  <c r="AJ118" i="1" s="1"/>
  <c r="AI118" i="1" a="1"/>
  <c r="AI118" i="1"/>
  <c r="AE118" i="1" a="1"/>
  <c r="AE118" i="1" s="1"/>
  <c r="AD118" i="1" a="1"/>
  <c r="AD118" i="1" s="1"/>
  <c r="AC118" i="1" a="1"/>
  <c r="AC118" i="1" s="1"/>
  <c r="Y118" i="1" a="1"/>
  <c r="Y118" i="1" s="1"/>
  <c r="X118" i="1" a="1"/>
  <c r="X118" i="1"/>
  <c r="W118" i="1" a="1"/>
  <c r="W118" i="1"/>
  <c r="S118" i="1" a="1"/>
  <c r="S118" i="1" s="1"/>
  <c r="R118" i="1" a="1"/>
  <c r="R118" i="1" s="1"/>
  <c r="Q118" i="1" a="1"/>
  <c r="Q118" i="1"/>
  <c r="M118" i="1" a="1"/>
  <c r="M118" i="1" s="1"/>
  <c r="L118" i="1" a="1"/>
  <c r="L118" i="1" s="1"/>
  <c r="K118" i="1" a="1"/>
  <c r="K118" i="1" s="1"/>
  <c r="AK117" i="1" a="1"/>
  <c r="AK117" i="1" s="1"/>
  <c r="AJ117" i="1" a="1"/>
  <c r="AJ117" i="1" s="1"/>
  <c r="AI117" i="1" a="1"/>
  <c r="AI117" i="1" s="1"/>
  <c r="AE117" i="1" a="1"/>
  <c r="AE117" i="1" s="1"/>
  <c r="AD117" i="1" a="1"/>
  <c r="AD117" i="1"/>
  <c r="AC117" i="1" a="1"/>
  <c r="AC117" i="1"/>
  <c r="Y117" i="1" a="1"/>
  <c r="Y117" i="1" s="1"/>
  <c r="X117" i="1" a="1"/>
  <c r="X117" i="1" s="1"/>
  <c r="W117" i="1" a="1"/>
  <c r="W117" i="1" s="1"/>
  <c r="S117" i="1" a="1"/>
  <c r="S117" i="1" s="1"/>
  <c r="R117" i="1" a="1"/>
  <c r="R117" i="1" s="1"/>
  <c r="Q117" i="1" a="1"/>
  <c r="Q117" i="1" s="1"/>
  <c r="M117" i="1" a="1"/>
  <c r="M117" i="1" s="1"/>
  <c r="L117" i="1" a="1"/>
  <c r="L117" i="1"/>
  <c r="K117" i="1" a="1"/>
  <c r="K117" i="1" s="1"/>
  <c r="AK116" i="1" a="1"/>
  <c r="AK116" i="1"/>
  <c r="AJ116" i="1" a="1"/>
  <c r="AJ116" i="1"/>
  <c r="AI116" i="1" a="1"/>
  <c r="AI116" i="1" s="1"/>
  <c r="AE116" i="1" a="1"/>
  <c r="AE116" i="1" s="1"/>
  <c r="AD116" i="1" a="1"/>
  <c r="AD116" i="1" s="1"/>
  <c r="AC116" i="1" a="1"/>
  <c r="AC116" i="1" s="1"/>
  <c r="Y116" i="1" a="1"/>
  <c r="Y116" i="1" s="1"/>
  <c r="X116" i="1" a="1"/>
  <c r="X116" i="1" s="1"/>
  <c r="W116" i="1" a="1"/>
  <c r="W116" i="1"/>
  <c r="S116" i="1" a="1"/>
  <c r="S116" i="1" s="1"/>
  <c r="R116" i="1" a="1"/>
  <c r="R116" i="1" s="1"/>
  <c r="Q116" i="1" a="1"/>
  <c r="Q116" i="1" s="1"/>
  <c r="M116" i="1" a="1"/>
  <c r="M116" i="1"/>
  <c r="L116" i="1" a="1"/>
  <c r="L116" i="1"/>
  <c r="K116" i="1" a="1"/>
  <c r="K116" i="1" s="1"/>
  <c r="AK115" i="1" a="1"/>
  <c r="AK115" i="1" s="1"/>
  <c r="AJ115" i="1" a="1"/>
  <c r="AJ115" i="1" s="1"/>
  <c r="AI115" i="1" a="1"/>
  <c r="AI115" i="1" s="1"/>
  <c r="AE115" i="1" a="1"/>
  <c r="AE115" i="1"/>
  <c r="AD115" i="1" a="1"/>
  <c r="AD115" i="1" s="1"/>
  <c r="AC115" i="1" a="1"/>
  <c r="AC115" i="1"/>
  <c r="Y115" i="1" a="1"/>
  <c r="Y115" i="1" s="1"/>
  <c r="X115" i="1" a="1"/>
  <c r="X115" i="1" s="1"/>
  <c r="W115" i="1" a="1"/>
  <c r="W115" i="1" s="1"/>
  <c r="S115" i="1" a="1"/>
  <c r="S115" i="1"/>
  <c r="R115" i="1" a="1"/>
  <c r="R115" i="1" s="1"/>
  <c r="Q115" i="1" a="1"/>
  <c r="Q115" i="1"/>
  <c r="M115" i="1" a="1"/>
  <c r="M115" i="1" s="1"/>
  <c r="L115" i="1" a="1"/>
  <c r="L115" i="1" s="1"/>
  <c r="K115" i="1" a="1"/>
  <c r="K115" i="1"/>
  <c r="AK114" i="1" a="1"/>
  <c r="AK114" i="1" s="1"/>
  <c r="AJ114" i="1" a="1"/>
  <c r="AJ114" i="1"/>
  <c r="AI114" i="1" a="1"/>
  <c r="AI114" i="1" s="1"/>
  <c r="AE114" i="1" a="1"/>
  <c r="AE114" i="1"/>
  <c r="AD114" i="1" a="1"/>
  <c r="AD114" i="1"/>
  <c r="AC114" i="1" a="1"/>
  <c r="AC114" i="1"/>
  <c r="Y114" i="1" a="1"/>
  <c r="Y114" i="1" s="1"/>
  <c r="X114" i="1" a="1"/>
  <c r="X114" i="1" s="1"/>
  <c r="W114" i="1" a="1"/>
  <c r="W114" i="1"/>
  <c r="S114" i="1" a="1"/>
  <c r="S114" i="1"/>
  <c r="R114" i="1" a="1"/>
  <c r="R114" i="1" s="1"/>
  <c r="Q114" i="1" a="1"/>
  <c r="Q114" i="1"/>
  <c r="M114" i="1" a="1"/>
  <c r="M114" i="1" s="1"/>
  <c r="L114" i="1" a="1"/>
  <c r="L114" i="1" s="1"/>
  <c r="K114" i="1" a="1"/>
  <c r="K114" i="1" s="1"/>
  <c r="AK113" i="1" a="1"/>
  <c r="AK113" i="1" s="1"/>
  <c r="AJ113" i="1" a="1"/>
  <c r="AJ113" i="1"/>
  <c r="AI113" i="1" a="1"/>
  <c r="AI113" i="1" s="1"/>
  <c r="AE113" i="1" a="1"/>
  <c r="AE113" i="1" s="1"/>
  <c r="AD113" i="1" a="1"/>
  <c r="AD113" i="1"/>
  <c r="AC113" i="1" a="1"/>
  <c r="AC113" i="1"/>
  <c r="Y113" i="1" a="1"/>
  <c r="Y113" i="1" s="1"/>
  <c r="X113" i="1" a="1"/>
  <c r="X113" i="1" s="1"/>
  <c r="W113" i="1" a="1"/>
  <c r="W113" i="1"/>
  <c r="S113" i="1" a="1"/>
  <c r="S113" i="1" s="1"/>
  <c r="R113" i="1" a="1"/>
  <c r="R113" i="1" s="1"/>
  <c r="Q113" i="1" a="1"/>
  <c r="Q113" i="1" s="1"/>
  <c r="M113" i="1" a="1"/>
  <c r="M113" i="1" s="1"/>
  <c r="L113" i="1" a="1"/>
  <c r="L113" i="1"/>
  <c r="K113" i="1" a="1"/>
  <c r="K113" i="1"/>
  <c r="AK112" i="1" a="1"/>
  <c r="AK112" i="1" s="1"/>
  <c r="AJ112" i="1" a="1"/>
  <c r="AJ112" i="1"/>
  <c r="AI112" i="1" a="1"/>
  <c r="AI112" i="1"/>
  <c r="AE112" i="1" a="1"/>
  <c r="AE112" i="1"/>
  <c r="AD112" i="1" a="1"/>
  <c r="AD112" i="1" s="1"/>
  <c r="AC112" i="1" a="1"/>
  <c r="AC112" i="1"/>
  <c r="Y112" i="1" a="1"/>
  <c r="Y112" i="1" s="1"/>
  <c r="X112" i="1" a="1"/>
  <c r="X112" i="1" s="1"/>
  <c r="W112" i="1" a="1"/>
  <c r="W112" i="1" s="1"/>
  <c r="S112" i="1" a="1"/>
  <c r="S112" i="1" s="1"/>
  <c r="R112" i="1" a="1"/>
  <c r="R112" i="1" s="1"/>
  <c r="Q112" i="1" a="1"/>
  <c r="Q112" i="1"/>
  <c r="M112" i="1" a="1"/>
  <c r="M112" i="1" s="1"/>
  <c r="L112" i="1" a="1"/>
  <c r="L112" i="1"/>
  <c r="K112" i="1" a="1"/>
  <c r="K112" i="1"/>
  <c r="AK111" i="1" a="1"/>
  <c r="AK111" i="1" s="1"/>
  <c r="AJ111" i="1" a="1"/>
  <c r="AJ111" i="1" s="1"/>
  <c r="AI111" i="1" a="1"/>
  <c r="AI111" i="1"/>
  <c r="AE111" i="1" a="1"/>
  <c r="AE111" i="1" s="1"/>
  <c r="AD111" i="1" a="1"/>
  <c r="AD111" i="1"/>
  <c r="AC111" i="1" a="1"/>
  <c r="AC111" i="1" s="1"/>
  <c r="Y111" i="1" a="1"/>
  <c r="Y111" i="1"/>
  <c r="X111" i="1" a="1"/>
  <c r="X111" i="1"/>
  <c r="W111" i="1" a="1"/>
  <c r="W111" i="1"/>
  <c r="S111" i="1" a="1"/>
  <c r="S111" i="1" s="1"/>
  <c r="R111" i="1" a="1"/>
  <c r="R111" i="1" s="1"/>
  <c r="Q111" i="1" a="1"/>
  <c r="Q111" i="1"/>
  <c r="M111" i="1" a="1"/>
  <c r="M111" i="1" s="1"/>
  <c r="L111" i="1" a="1"/>
  <c r="L111" i="1" s="1"/>
  <c r="K111" i="1" a="1"/>
  <c r="K111" i="1" s="1"/>
  <c r="AK110" i="1" a="1"/>
  <c r="AK110" i="1"/>
  <c r="AJ110" i="1" a="1"/>
  <c r="AJ110" i="1" s="1"/>
  <c r="AI110" i="1" a="1"/>
  <c r="AI110" i="1" s="1"/>
  <c r="AE110" i="1" a="1"/>
  <c r="AE110" i="1"/>
  <c r="AD110" i="1" a="1"/>
  <c r="AD110" i="1" s="1"/>
  <c r="AC110" i="1" a="1"/>
  <c r="AC110" i="1"/>
  <c r="Y110" i="1" a="1"/>
  <c r="Y110" i="1" s="1"/>
  <c r="X110" i="1" a="1"/>
  <c r="X110" i="1"/>
  <c r="W110" i="1" a="1"/>
  <c r="W110" i="1" s="1"/>
  <c r="S110" i="1" a="1"/>
  <c r="S110" i="1" s="1"/>
  <c r="R110" i="1" a="1"/>
  <c r="R110" i="1" s="1"/>
  <c r="Q110" i="1" a="1"/>
  <c r="Q110" i="1" s="1"/>
  <c r="M110" i="1" a="1"/>
  <c r="M110" i="1" s="1"/>
  <c r="L110" i="1" a="1"/>
  <c r="L110" i="1" s="1"/>
  <c r="K110" i="1" a="1"/>
  <c r="K110" i="1" s="1"/>
  <c r="AK109" i="1" a="1"/>
  <c r="AK109" i="1" s="1"/>
  <c r="AJ109" i="1" a="1"/>
  <c r="AJ109" i="1"/>
  <c r="AI109" i="1" a="1"/>
  <c r="AI109" i="1" s="1"/>
  <c r="AE109" i="1" a="1"/>
  <c r="AE109" i="1" s="1"/>
  <c r="AD109" i="1" a="1"/>
  <c r="AD109" i="1"/>
  <c r="AC109" i="1" a="1"/>
  <c r="AC109" i="1" s="1"/>
  <c r="Y109" i="1" a="1"/>
  <c r="Y109" i="1"/>
  <c r="X109" i="1" a="1"/>
  <c r="X109" i="1" s="1"/>
  <c r="W109" i="1" a="1"/>
  <c r="W109" i="1" s="1"/>
  <c r="S109" i="1" a="1"/>
  <c r="S109" i="1"/>
  <c r="R109" i="1" a="1"/>
  <c r="R109" i="1" s="1"/>
  <c r="Q109" i="1" a="1"/>
  <c r="Q109" i="1" s="1"/>
  <c r="M109" i="1" a="1"/>
  <c r="M109" i="1" s="1"/>
  <c r="L109" i="1" a="1"/>
  <c r="L109" i="1" s="1"/>
  <c r="K109" i="1" a="1"/>
  <c r="K109" i="1" s="1"/>
  <c r="AK108" i="1" a="1"/>
  <c r="AK108" i="1" s="1"/>
  <c r="AJ108" i="1" a="1"/>
  <c r="AJ108" i="1" s="1"/>
  <c r="AI108" i="1" a="1"/>
  <c r="AI108" i="1"/>
  <c r="AE108" i="1" a="1"/>
  <c r="AE108" i="1"/>
  <c r="AD108" i="1" a="1"/>
  <c r="AD108" i="1" s="1"/>
  <c r="AC108" i="1" a="1"/>
  <c r="AC108" i="1"/>
  <c r="Y108" i="1" a="1"/>
  <c r="Y108" i="1" s="1"/>
  <c r="X108" i="1" a="1"/>
  <c r="X108" i="1"/>
  <c r="W108" i="1" a="1"/>
  <c r="W108" i="1" s="1"/>
  <c r="S108" i="1" a="1"/>
  <c r="S108" i="1" s="1"/>
  <c r="R108" i="1" a="1"/>
  <c r="R108" i="1" s="1"/>
  <c r="Q108" i="1" a="1"/>
  <c r="Q108" i="1"/>
  <c r="M108" i="1" a="1"/>
  <c r="M108" i="1" s="1"/>
  <c r="L108" i="1" a="1"/>
  <c r="L108" i="1" s="1"/>
  <c r="K108" i="1" a="1"/>
  <c r="K108" i="1"/>
  <c r="AK107" i="1" a="1"/>
  <c r="AK107" i="1" s="1"/>
  <c r="AJ107" i="1" a="1"/>
  <c r="AJ107" i="1" s="1"/>
  <c r="AI107" i="1" a="1"/>
  <c r="AI107" i="1"/>
  <c r="AE107" i="1" a="1"/>
  <c r="AE107" i="1"/>
  <c r="AD107" i="1" a="1"/>
  <c r="AD107" i="1" s="1"/>
  <c r="AC107" i="1" a="1"/>
  <c r="AC107" i="1" s="1"/>
  <c r="Y107" i="1" a="1"/>
  <c r="Y107" i="1"/>
  <c r="X107" i="1" a="1"/>
  <c r="X107" i="1" s="1"/>
  <c r="W107" i="1" a="1"/>
  <c r="W107" i="1" s="1"/>
  <c r="S107" i="1" a="1"/>
  <c r="S107" i="1" s="1"/>
  <c r="R107" i="1" a="1"/>
  <c r="R107" i="1"/>
  <c r="Q107" i="1" a="1"/>
  <c r="Q107" i="1"/>
  <c r="M107" i="1" a="1"/>
  <c r="M107" i="1"/>
  <c r="L107" i="1" a="1"/>
  <c r="L107" i="1" s="1"/>
  <c r="K107" i="1" a="1"/>
  <c r="K107" i="1" s="1"/>
  <c r="AK106" i="1" a="1"/>
  <c r="AK106" i="1"/>
  <c r="AJ106" i="1" a="1"/>
  <c r="AJ106" i="1" s="1"/>
  <c r="AI106" i="1" a="1"/>
  <c r="AI106" i="1" s="1"/>
  <c r="AE106" i="1" a="1"/>
  <c r="AE106" i="1" s="1"/>
  <c r="AD106" i="1" a="1"/>
  <c r="AD106" i="1" s="1"/>
  <c r="AC106" i="1" a="1"/>
  <c r="AC106" i="1"/>
  <c r="Y106" i="1" a="1"/>
  <c r="Y106" i="1" s="1"/>
  <c r="X106" i="1" a="1"/>
  <c r="X106" i="1"/>
  <c r="W106" i="1" a="1"/>
  <c r="W106" i="1" s="1"/>
  <c r="S106" i="1" a="1"/>
  <c r="S106" i="1" s="1"/>
  <c r="R106" i="1" a="1"/>
  <c r="R106" i="1" s="1"/>
  <c r="Q106" i="1" a="1"/>
  <c r="Q106" i="1"/>
  <c r="M106" i="1" a="1"/>
  <c r="M106" i="1" s="1"/>
  <c r="L106" i="1" a="1"/>
  <c r="L106" i="1"/>
  <c r="K106" i="1" a="1"/>
  <c r="K106" i="1" s="1"/>
  <c r="AK105" i="1" a="1"/>
  <c r="AK105" i="1" s="1"/>
  <c r="AJ105" i="1" a="1"/>
  <c r="AJ105" i="1"/>
  <c r="AI105" i="1" a="1"/>
  <c r="AI105" i="1" s="1"/>
  <c r="AE105" i="1" a="1"/>
  <c r="AE105" i="1" s="1"/>
  <c r="AD105" i="1" a="1"/>
  <c r="AD105" i="1" s="1"/>
  <c r="AC105" i="1" a="1"/>
  <c r="AC105" i="1"/>
  <c r="Y105" i="1" a="1"/>
  <c r="Y105" i="1" s="1"/>
  <c r="X105" i="1" a="1"/>
  <c r="X105" i="1" s="1"/>
  <c r="W105" i="1" a="1"/>
  <c r="W105" i="1"/>
  <c r="S105" i="1" a="1"/>
  <c r="S105" i="1" s="1"/>
  <c r="R105" i="1" a="1"/>
  <c r="R105" i="1"/>
  <c r="Q105" i="1" a="1"/>
  <c r="Q105" i="1" s="1"/>
  <c r="M105" i="1" a="1"/>
  <c r="M105" i="1"/>
  <c r="L105" i="1" a="1"/>
  <c r="L105" i="1" s="1"/>
  <c r="K105" i="1" a="1"/>
  <c r="K105" i="1" s="1"/>
  <c r="AK104" i="1" a="1"/>
  <c r="AK104" i="1" s="1"/>
  <c r="AJ104" i="1" a="1"/>
  <c r="AJ104" i="1" s="1"/>
  <c r="AI104" i="1" a="1"/>
  <c r="AI104" i="1" s="1"/>
  <c r="AE104" i="1" a="1"/>
  <c r="AE104" i="1" s="1"/>
  <c r="AD104" i="1" a="1"/>
  <c r="AD104" i="1" s="1"/>
  <c r="AC104" i="1" a="1"/>
  <c r="AC104" i="1" s="1"/>
  <c r="Y104" i="1" a="1"/>
  <c r="Y104" i="1"/>
  <c r="X104" i="1" a="1"/>
  <c r="X104" i="1" s="1"/>
  <c r="W104" i="1" a="1"/>
  <c r="W104" i="1" s="1"/>
  <c r="S104" i="1" a="1"/>
  <c r="S104" i="1"/>
  <c r="R104" i="1" a="1"/>
  <c r="R104" i="1" s="1"/>
  <c r="Q104" i="1" a="1"/>
  <c r="Q104" i="1" s="1"/>
  <c r="M104" i="1" a="1"/>
  <c r="M104" i="1" s="1"/>
  <c r="L104" i="1" a="1"/>
  <c r="L104" i="1"/>
  <c r="K104" i="1" a="1"/>
  <c r="K104" i="1" s="1"/>
  <c r="AK103" i="1" a="1"/>
  <c r="AK103" i="1"/>
  <c r="AJ103" i="1" a="1"/>
  <c r="AJ103" i="1" s="1"/>
  <c r="AI103" i="1" a="1"/>
  <c r="AI103" i="1" s="1"/>
  <c r="AE103" i="1" a="1"/>
  <c r="AE103" i="1"/>
  <c r="AD103" i="1" a="1"/>
  <c r="AD103" i="1" s="1"/>
  <c r="AC103" i="1" a="1"/>
  <c r="AC103" i="1" s="1"/>
  <c r="Y103" i="1" a="1"/>
  <c r="Y103" i="1"/>
  <c r="X103" i="1" a="1"/>
  <c r="X103" i="1" s="1"/>
  <c r="W103" i="1" a="1"/>
  <c r="W103" i="1" s="1"/>
  <c r="S103" i="1" a="1"/>
  <c r="S103" i="1" s="1"/>
  <c r="R103" i="1" a="1"/>
  <c r="R103" i="1" s="1"/>
  <c r="Q103" i="1" a="1"/>
  <c r="Q103" i="1" s="1"/>
  <c r="M103" i="1" a="1"/>
  <c r="M103" i="1"/>
  <c r="L103" i="1" a="1"/>
  <c r="L103" i="1" s="1"/>
  <c r="K103" i="1" a="1"/>
  <c r="K103" i="1"/>
  <c r="AK102" i="1" a="1"/>
  <c r="AK102" i="1" s="1"/>
  <c r="AJ102" i="1" a="1"/>
  <c r="AJ102" i="1"/>
  <c r="AI102" i="1" a="1"/>
  <c r="AI102" i="1" s="1"/>
  <c r="AE102" i="1" a="1"/>
  <c r="AE102" i="1" s="1"/>
  <c r="AD102" i="1" a="1"/>
  <c r="AD102" i="1"/>
  <c r="AC102" i="1" a="1"/>
  <c r="AC102" i="1" s="1"/>
  <c r="Y102" i="1" a="1"/>
  <c r="Y102" i="1" s="1"/>
  <c r="X102" i="1" a="1"/>
  <c r="X102" i="1" s="1"/>
  <c r="W102" i="1" a="1"/>
  <c r="W102" i="1"/>
  <c r="S102" i="1" a="1"/>
  <c r="S102" i="1" s="1"/>
  <c r="R102" i="1" a="1"/>
  <c r="R102" i="1" s="1"/>
  <c r="Q102" i="1" a="1"/>
  <c r="Q102" i="1" s="1"/>
  <c r="M102" i="1" a="1"/>
  <c r="M102" i="1" s="1"/>
  <c r="L102" i="1" a="1"/>
  <c r="L102" i="1" s="1"/>
  <c r="K102" i="1" a="1"/>
  <c r="K102" i="1" s="1"/>
  <c r="AK101" i="1" a="1"/>
  <c r="AK101" i="1" s="1"/>
  <c r="AJ101" i="1" a="1"/>
  <c r="AJ101" i="1" s="1"/>
  <c r="AI101" i="1" a="1"/>
  <c r="AI101" i="1" s="1"/>
  <c r="AE101" i="1" a="1"/>
  <c r="AE101" i="1" s="1"/>
  <c r="AD101" i="1" a="1"/>
  <c r="AD101" i="1" s="1"/>
  <c r="AC101" i="1" a="1"/>
  <c r="AC101" i="1"/>
  <c r="Y101" i="1" a="1"/>
  <c r="Y101" i="1" s="1"/>
  <c r="X101" i="1" a="1"/>
  <c r="X101" i="1" s="1"/>
  <c r="W101" i="1" a="1"/>
  <c r="W101" i="1" s="1"/>
  <c r="S101" i="1" a="1"/>
  <c r="S101" i="1" s="1"/>
  <c r="R101" i="1" a="1"/>
  <c r="R101" i="1" s="1"/>
  <c r="Q101" i="1" a="1"/>
  <c r="Q101" i="1" s="1"/>
  <c r="M101" i="1" a="1"/>
  <c r="M101" i="1" s="1"/>
  <c r="L101" i="1" a="1"/>
  <c r="L101" i="1" s="1"/>
  <c r="K101" i="1" a="1"/>
  <c r="K101" i="1"/>
  <c r="AK100" i="1" a="1"/>
  <c r="AK100" i="1" s="1"/>
  <c r="AJ100" i="1" a="1"/>
  <c r="AJ100" i="1"/>
  <c r="AI100" i="1" a="1"/>
  <c r="AI100" i="1" s="1"/>
  <c r="AE100" i="1" a="1"/>
  <c r="AE100" i="1" s="1"/>
  <c r="AD100" i="1" a="1"/>
  <c r="AD100" i="1" s="1"/>
  <c r="AC100" i="1" a="1"/>
  <c r="AC100" i="1" s="1"/>
  <c r="Y100" i="1" a="1"/>
  <c r="Y100" i="1" s="1"/>
  <c r="X100" i="1" a="1"/>
  <c r="X100" i="1" s="1"/>
  <c r="W100" i="1" a="1"/>
  <c r="W100" i="1" s="1"/>
  <c r="S100" i="1" a="1"/>
  <c r="S100" i="1" s="1"/>
  <c r="R100" i="1" a="1"/>
  <c r="R100" i="1"/>
  <c r="Q100" i="1" a="1"/>
  <c r="Q100" i="1" s="1"/>
  <c r="M100" i="1" a="1"/>
  <c r="M100" i="1" s="1"/>
  <c r="L100" i="1" a="1"/>
  <c r="L100" i="1"/>
  <c r="K100" i="1" a="1"/>
  <c r="K100" i="1" s="1"/>
  <c r="AK99" i="1" a="1"/>
  <c r="AK99" i="1"/>
  <c r="AJ99" i="1" a="1"/>
  <c r="AJ99" i="1" s="1"/>
  <c r="AI99" i="1" a="1"/>
  <c r="AI99" i="1" s="1"/>
  <c r="AE99" i="1" a="1"/>
  <c r="AE99" i="1" s="1"/>
  <c r="AD99" i="1" a="1"/>
  <c r="AD99" i="1"/>
  <c r="AC99" i="1" a="1"/>
  <c r="AC99" i="1" s="1"/>
  <c r="Y99" i="1" a="1"/>
  <c r="Y99" i="1" s="1"/>
  <c r="X99" i="1" a="1"/>
  <c r="X99" i="1" s="1"/>
  <c r="W99" i="1" a="1"/>
  <c r="W99" i="1" s="1"/>
  <c r="S99" i="1" a="1"/>
  <c r="S99" i="1" s="1"/>
  <c r="R99" i="1" a="1"/>
  <c r="R99" i="1"/>
  <c r="Q99" i="1" a="1"/>
  <c r="Q99" i="1" s="1"/>
  <c r="M99" i="1" a="1"/>
  <c r="M99" i="1" s="1"/>
  <c r="L99" i="1" a="1"/>
  <c r="L99" i="1" s="1"/>
  <c r="K99" i="1" a="1"/>
  <c r="K99" i="1" s="1"/>
  <c r="AK98" i="1" a="1"/>
  <c r="AK98" i="1" s="1"/>
  <c r="AJ98" i="1" a="1"/>
  <c r="AJ98" i="1" s="1"/>
  <c r="AI98" i="1" a="1"/>
  <c r="AI98" i="1" s="1"/>
  <c r="AE98" i="1" a="1"/>
  <c r="AE98" i="1" s="1"/>
  <c r="AD98" i="1" a="1"/>
  <c r="AD98" i="1" s="1"/>
  <c r="AC98" i="1" a="1"/>
  <c r="AC98" i="1" s="1"/>
  <c r="Y98" i="1" a="1"/>
  <c r="Y98" i="1" s="1"/>
  <c r="X98" i="1" a="1"/>
  <c r="X98" i="1" s="1"/>
  <c r="W98" i="1" a="1"/>
  <c r="W98" i="1" s="1"/>
  <c r="S98" i="1" a="1"/>
  <c r="S98" i="1" s="1"/>
  <c r="R98" i="1" a="1"/>
  <c r="R98" i="1" s="1"/>
  <c r="Q98" i="1" a="1"/>
  <c r="Q98" i="1"/>
  <c r="M98" i="1" a="1"/>
  <c r="M98" i="1" s="1"/>
  <c r="L98" i="1" a="1"/>
  <c r="L98" i="1" s="1"/>
  <c r="K98" i="1" a="1"/>
  <c r="K98" i="1" s="1"/>
  <c r="AK97" i="1" a="1"/>
  <c r="AK97" i="1" s="1"/>
  <c r="AJ97" i="1" a="1"/>
  <c r="AJ97" i="1" s="1"/>
  <c r="AI97" i="1" a="1"/>
  <c r="AI97" i="1" s="1"/>
  <c r="AE97" i="1" a="1"/>
  <c r="AE97" i="1" s="1"/>
  <c r="AD97" i="1" a="1"/>
  <c r="AD97" i="1"/>
  <c r="AC97" i="1" a="1"/>
  <c r="AC97" i="1" s="1"/>
  <c r="Y97" i="1" a="1"/>
  <c r="Y97" i="1"/>
  <c r="X97" i="1" a="1"/>
  <c r="X97" i="1" s="1"/>
  <c r="W97" i="1" a="1"/>
  <c r="W97" i="1" s="1"/>
  <c r="S97" i="1" a="1"/>
  <c r="S97" i="1"/>
  <c r="R97" i="1" a="1"/>
  <c r="R97" i="1" s="1"/>
  <c r="Q97" i="1" a="1"/>
  <c r="Q97" i="1" s="1"/>
  <c r="M97" i="1" a="1"/>
  <c r="M97" i="1" s="1"/>
  <c r="L97" i="1" a="1"/>
  <c r="L97" i="1" s="1"/>
  <c r="K97" i="1" a="1"/>
  <c r="K97" i="1"/>
  <c r="AK96" i="1" a="1"/>
  <c r="AK96" i="1" s="1"/>
  <c r="AJ96" i="1" a="1"/>
  <c r="AJ96" i="1" s="1"/>
  <c r="AI96" i="1" a="1"/>
  <c r="AI96" i="1" s="1"/>
  <c r="AE96" i="1" a="1"/>
  <c r="AE96" i="1" s="1"/>
  <c r="AD96" i="1" a="1"/>
  <c r="AD96" i="1" s="1"/>
  <c r="AC96" i="1" a="1"/>
  <c r="AC96" i="1" s="1"/>
  <c r="Y96" i="1" a="1"/>
  <c r="Y96" i="1"/>
  <c r="X96" i="1" a="1"/>
  <c r="X96" i="1" s="1"/>
  <c r="W96" i="1" a="1"/>
  <c r="W96" i="1" s="1"/>
  <c r="S96" i="1" a="1"/>
  <c r="S96" i="1" s="1"/>
  <c r="R96" i="1" a="1"/>
  <c r="R96" i="1"/>
  <c r="Q96" i="1" a="1"/>
  <c r="Q96" i="1" s="1"/>
  <c r="M96" i="1" a="1"/>
  <c r="M96" i="1" s="1"/>
  <c r="L96" i="1" a="1"/>
  <c r="L96" i="1" s="1"/>
  <c r="K96" i="1" a="1"/>
  <c r="K96" i="1" s="1"/>
  <c r="AK95" i="1" a="1"/>
  <c r="AK95" i="1" s="1"/>
  <c r="AJ95" i="1" a="1"/>
  <c r="AJ95" i="1" s="1"/>
  <c r="AI95" i="1" a="1"/>
  <c r="AI95" i="1"/>
  <c r="AE95" i="1" a="1"/>
  <c r="AE95" i="1" s="1"/>
  <c r="AD95" i="1" a="1"/>
  <c r="AD95" i="1" s="1"/>
  <c r="AC95" i="1" a="1"/>
  <c r="AC95" i="1" s="1"/>
  <c r="Y95" i="1" a="1"/>
  <c r="Y95" i="1" s="1"/>
  <c r="X95" i="1" a="1"/>
  <c r="X95" i="1" s="1"/>
  <c r="W95" i="1" a="1"/>
  <c r="W95" i="1" s="1"/>
  <c r="S95" i="1" a="1"/>
  <c r="S95" i="1" s="1"/>
  <c r="R95" i="1" a="1"/>
  <c r="R95" i="1"/>
  <c r="Q95" i="1" a="1"/>
  <c r="Q95" i="1"/>
  <c r="M95" i="1" a="1"/>
  <c r="M95" i="1" s="1"/>
  <c r="L95" i="1" a="1"/>
  <c r="L95" i="1" s="1"/>
  <c r="K95" i="1" a="1"/>
  <c r="K95" i="1"/>
  <c r="AK94" i="1" a="1"/>
  <c r="AK94" i="1" s="1"/>
  <c r="AJ94" i="1" a="1"/>
  <c r="AJ94" i="1" s="1"/>
  <c r="AI94" i="1" a="1"/>
  <c r="AI94" i="1" s="1"/>
  <c r="AE94" i="1" a="1"/>
  <c r="AE94" i="1" s="1"/>
  <c r="AD94" i="1" a="1"/>
  <c r="AD94" i="1" s="1"/>
  <c r="AC94" i="1" a="1"/>
  <c r="AC94" i="1"/>
  <c r="Y94" i="1" a="1"/>
  <c r="Y94" i="1" s="1"/>
  <c r="X94" i="1" a="1"/>
  <c r="X94" i="1" s="1"/>
  <c r="W94" i="1" a="1"/>
  <c r="W94" i="1"/>
  <c r="S94" i="1" a="1"/>
  <c r="S94" i="1" s="1"/>
  <c r="R94" i="1" a="1"/>
  <c r="R94" i="1" s="1"/>
  <c r="Q94" i="1" a="1"/>
  <c r="Q94" i="1" s="1"/>
  <c r="M94" i="1" a="1"/>
  <c r="M94" i="1" s="1"/>
  <c r="L94" i="1" a="1"/>
  <c r="L94" i="1"/>
  <c r="K94" i="1" a="1"/>
  <c r="K94" i="1" s="1"/>
  <c r="AK93" i="1" a="1"/>
  <c r="AK93" i="1" s="1"/>
  <c r="AJ93" i="1" a="1"/>
  <c r="AJ93" i="1" s="1"/>
  <c r="AI93" i="1" a="1"/>
  <c r="AI93" i="1" s="1"/>
  <c r="AE93" i="1" a="1"/>
  <c r="AE93" i="1" s="1"/>
  <c r="AD93" i="1" a="1"/>
  <c r="AD93" i="1"/>
  <c r="AC93" i="1" a="1"/>
  <c r="AC93" i="1" s="1"/>
  <c r="Y93" i="1" a="1"/>
  <c r="Y93" i="1" s="1"/>
  <c r="X93" i="1" a="1"/>
  <c r="X93" i="1" s="1"/>
  <c r="W93" i="1" a="1"/>
  <c r="W93" i="1" s="1"/>
  <c r="S93" i="1" a="1"/>
  <c r="S93" i="1" s="1"/>
  <c r="R93" i="1" a="1"/>
  <c r="R93" i="1" s="1"/>
  <c r="Q93" i="1" a="1"/>
  <c r="Q93" i="1" s="1"/>
  <c r="M93" i="1" a="1"/>
  <c r="M93" i="1" s="1"/>
  <c r="L93" i="1" a="1"/>
  <c r="L93" i="1"/>
  <c r="K93" i="1" a="1"/>
  <c r="K93" i="1" s="1"/>
  <c r="AK92" i="1" a="1"/>
  <c r="AK92" i="1" s="1"/>
  <c r="AJ92" i="1" a="1"/>
  <c r="AJ92" i="1"/>
  <c r="AI92" i="1" a="1"/>
  <c r="AI92" i="1" s="1"/>
  <c r="AE92" i="1" a="1"/>
  <c r="AE92" i="1" s="1"/>
  <c r="AD92" i="1" a="1"/>
  <c r="AD92" i="1" s="1"/>
  <c r="AC92" i="1" a="1"/>
  <c r="AC92" i="1" s="1"/>
  <c r="Y92" i="1" a="1"/>
  <c r="Y92" i="1" s="1"/>
  <c r="X92" i="1" a="1"/>
  <c r="X92" i="1"/>
  <c r="W92" i="1" a="1"/>
  <c r="W92" i="1" s="1"/>
  <c r="S92" i="1" a="1"/>
  <c r="S92" i="1" s="1"/>
  <c r="R92" i="1" a="1"/>
  <c r="R92" i="1"/>
  <c r="Q92" i="1" a="1"/>
  <c r="Q92" i="1" s="1"/>
  <c r="M92" i="1" a="1"/>
  <c r="M92" i="1" s="1"/>
  <c r="L92" i="1" a="1"/>
  <c r="L92" i="1" s="1"/>
  <c r="K92" i="1" a="1"/>
  <c r="K92" i="1" s="1"/>
  <c r="AK91" i="1" a="1"/>
  <c r="AK91" i="1" s="1"/>
  <c r="AJ91" i="1" a="1"/>
  <c r="AJ91" i="1" s="1"/>
  <c r="AI91" i="1" a="1"/>
  <c r="AI91" i="1" s="1"/>
  <c r="AE91" i="1" a="1"/>
  <c r="AE91" i="1" s="1"/>
  <c r="AD91" i="1" a="1"/>
  <c r="AD91" i="1"/>
  <c r="AC91" i="1" a="1"/>
  <c r="AC91" i="1" s="1"/>
  <c r="Y91" i="1" a="1"/>
  <c r="Y91" i="1" s="1"/>
  <c r="X91" i="1" a="1"/>
  <c r="X91" i="1" s="1"/>
  <c r="W91" i="1" a="1"/>
  <c r="W91" i="1" s="1"/>
  <c r="S91" i="1" a="1"/>
  <c r="S91" i="1" s="1"/>
  <c r="R91" i="1" a="1"/>
  <c r="R91" i="1" s="1"/>
  <c r="Q91" i="1" a="1"/>
  <c r="Q91" i="1" s="1"/>
  <c r="M91" i="1" a="1"/>
  <c r="M91" i="1" s="1"/>
  <c r="L91" i="1" a="1"/>
  <c r="L91" i="1" s="1"/>
  <c r="K91" i="1" a="1"/>
  <c r="K91" i="1"/>
  <c r="AK90" i="1" a="1"/>
  <c r="AK90" i="1" s="1"/>
  <c r="AJ90" i="1" a="1"/>
  <c r="AJ90" i="1" s="1"/>
  <c r="AI90" i="1" a="1"/>
  <c r="AI90" i="1" s="1"/>
  <c r="AE90" i="1" a="1"/>
  <c r="AE90" i="1"/>
  <c r="AD90" i="1" a="1"/>
  <c r="AD90" i="1" s="1"/>
  <c r="AC90" i="1" a="1"/>
  <c r="AC90" i="1" s="1"/>
  <c r="Y90" i="1" a="1"/>
  <c r="Y90" i="1" s="1"/>
  <c r="X90" i="1" a="1"/>
  <c r="X90" i="1" s="1"/>
  <c r="W90" i="1" a="1"/>
  <c r="W90" i="1"/>
  <c r="S90" i="1" a="1"/>
  <c r="S90" i="1"/>
  <c r="R90" i="1" a="1"/>
  <c r="R90" i="1" s="1"/>
  <c r="Q90" i="1" a="1"/>
  <c r="Q90" i="1" s="1"/>
  <c r="M90" i="1" a="1"/>
  <c r="M90" i="1" s="1"/>
  <c r="L90" i="1" a="1"/>
  <c r="L90" i="1" s="1"/>
  <c r="K90" i="1" a="1"/>
  <c r="K90" i="1" s="1"/>
  <c r="AK89" i="1" a="1"/>
  <c r="AK89" i="1" s="1"/>
  <c r="AJ89" i="1" a="1"/>
  <c r="AJ89" i="1" s="1"/>
  <c r="AI89" i="1" a="1"/>
  <c r="AI89" i="1"/>
  <c r="AE89" i="1" a="1"/>
  <c r="AE89" i="1" s="1"/>
  <c r="AD89" i="1" a="1"/>
  <c r="AD89" i="1" s="1"/>
  <c r="AC89" i="1" a="1"/>
  <c r="AC89" i="1" s="1"/>
  <c r="Y89" i="1" a="1"/>
  <c r="Y89" i="1"/>
  <c r="X89" i="1" a="1"/>
  <c r="X89" i="1" s="1"/>
  <c r="W89" i="1" a="1"/>
  <c r="W89" i="1"/>
  <c r="S89" i="1" a="1"/>
  <c r="S89" i="1" s="1"/>
  <c r="R89" i="1" a="1"/>
  <c r="R89" i="1" s="1"/>
  <c r="Q89" i="1" a="1"/>
  <c r="Q89" i="1" s="1"/>
  <c r="M89" i="1" a="1"/>
  <c r="M89" i="1" s="1"/>
  <c r="L89" i="1" a="1"/>
  <c r="L89" i="1" s="1"/>
  <c r="K89" i="1" a="1"/>
  <c r="K89" i="1" s="1"/>
  <c r="AK88" i="1" a="1"/>
  <c r="AK88" i="1" s="1"/>
  <c r="AJ88" i="1" a="1"/>
  <c r="AJ88" i="1"/>
  <c r="AI88" i="1" a="1"/>
  <c r="AI88" i="1" s="1"/>
  <c r="AE88" i="1" a="1"/>
  <c r="AE88" i="1" s="1"/>
  <c r="AD88" i="1" a="1"/>
  <c r="AD88" i="1" s="1"/>
  <c r="AC88" i="1" a="1"/>
  <c r="AC88" i="1" s="1"/>
  <c r="Y88" i="1" a="1"/>
  <c r="Y88" i="1" s="1"/>
  <c r="X88" i="1" a="1"/>
  <c r="X88" i="1" s="1"/>
  <c r="W88" i="1" a="1"/>
  <c r="W88" i="1" s="1"/>
  <c r="S88" i="1" a="1"/>
  <c r="S88" i="1" s="1"/>
  <c r="R88" i="1" a="1"/>
  <c r="R88" i="1"/>
  <c r="Q88" i="1" a="1"/>
  <c r="Q88" i="1" s="1"/>
  <c r="M88" i="1" a="1"/>
  <c r="M88" i="1" s="1"/>
  <c r="L88" i="1" a="1"/>
  <c r="L88" i="1" s="1"/>
  <c r="K88" i="1" a="1"/>
  <c r="K88" i="1" s="1"/>
  <c r="AK87" i="1" a="1"/>
  <c r="AK87" i="1" s="1"/>
  <c r="AJ87" i="1" a="1"/>
  <c r="AJ87" i="1" s="1"/>
  <c r="AI87" i="1" a="1"/>
  <c r="AI87" i="1" s="1"/>
  <c r="AE87" i="1" a="1"/>
  <c r="AE87" i="1" s="1"/>
  <c r="AD87" i="1" a="1"/>
  <c r="AD87" i="1"/>
  <c r="AC87" i="1" a="1"/>
  <c r="AC87" i="1" s="1"/>
  <c r="Y87" i="1" a="1"/>
  <c r="Y87" i="1" s="1"/>
  <c r="X87" i="1" a="1"/>
  <c r="X87" i="1" s="1"/>
  <c r="W87" i="1" a="1"/>
  <c r="W87" i="1"/>
  <c r="S87" i="1" a="1"/>
  <c r="S87" i="1" s="1"/>
  <c r="R87" i="1" a="1"/>
  <c r="R87" i="1"/>
  <c r="Q87" i="1" a="1"/>
  <c r="Q87" i="1" s="1"/>
  <c r="M87" i="1" a="1"/>
  <c r="M87" i="1" s="1"/>
  <c r="L87" i="1" a="1"/>
  <c r="L87" i="1" s="1"/>
  <c r="K87" i="1" a="1"/>
  <c r="K87" i="1" s="1"/>
  <c r="AK86" i="1" a="1"/>
  <c r="AK86" i="1" s="1"/>
  <c r="AJ86" i="1" a="1"/>
  <c r="AJ86" i="1" s="1"/>
  <c r="AI86" i="1" a="1"/>
  <c r="AI86" i="1" s="1"/>
  <c r="AE86" i="1" a="1"/>
  <c r="AE86" i="1"/>
  <c r="AD86" i="1" a="1"/>
  <c r="AD86" i="1"/>
  <c r="AC86" i="1" a="1"/>
  <c r="AC86" i="1" s="1"/>
  <c r="Y86" i="1" a="1"/>
  <c r="Y86" i="1" s="1"/>
  <c r="X86" i="1" a="1"/>
  <c r="X86" i="1"/>
  <c r="W86" i="1" a="1"/>
  <c r="W86" i="1" s="1"/>
  <c r="S86" i="1" a="1"/>
  <c r="S86" i="1" s="1"/>
  <c r="R86" i="1" a="1"/>
  <c r="R86" i="1" s="1"/>
  <c r="Q86" i="1" a="1"/>
  <c r="Q86" i="1" s="1"/>
  <c r="M86" i="1" a="1"/>
  <c r="M86" i="1"/>
  <c r="L86" i="1" a="1"/>
  <c r="L86" i="1"/>
  <c r="K86" i="1" a="1"/>
  <c r="K86" i="1" s="1"/>
  <c r="AK85" i="1" a="1"/>
  <c r="AK85" i="1" s="1"/>
  <c r="AJ85" i="1" a="1"/>
  <c r="AJ85" i="1"/>
  <c r="AI85" i="1" a="1"/>
  <c r="AI85" i="1" s="1"/>
  <c r="AE85" i="1" a="1"/>
  <c r="AE85" i="1" s="1"/>
  <c r="AD85" i="1" a="1"/>
  <c r="AD85" i="1" s="1"/>
  <c r="AC85" i="1" a="1"/>
  <c r="AC85" i="1" s="1"/>
  <c r="Y85" i="1" a="1"/>
  <c r="Y85" i="1"/>
  <c r="X85" i="1" a="1"/>
  <c r="X85" i="1" s="1"/>
  <c r="W85" i="1" a="1"/>
  <c r="W85" i="1" s="1"/>
  <c r="S85" i="1" a="1"/>
  <c r="S85" i="1" s="1"/>
  <c r="R85" i="1" a="1"/>
  <c r="R85" i="1" s="1"/>
  <c r="Q85" i="1" a="1"/>
  <c r="Q85" i="1" s="1"/>
  <c r="M85" i="1" a="1"/>
  <c r="M85" i="1"/>
  <c r="L85" i="1" a="1"/>
  <c r="L85" i="1" s="1"/>
  <c r="K85" i="1" a="1"/>
  <c r="K85" i="1" s="1"/>
  <c r="AK84" i="1" a="1"/>
  <c r="AK84" i="1" s="1"/>
  <c r="AJ84" i="1" a="1"/>
  <c r="AJ84" i="1" s="1"/>
  <c r="AI84" i="1" a="1"/>
  <c r="AI84" i="1" s="1"/>
  <c r="AE84" i="1" a="1"/>
  <c r="AE84" i="1"/>
  <c r="AD84" i="1" a="1"/>
  <c r="AD84" i="1" s="1"/>
  <c r="AC84" i="1" a="1"/>
  <c r="AC84" i="1"/>
  <c r="Y84" i="1" a="1"/>
  <c r="Y84" i="1"/>
  <c r="X84" i="1" a="1"/>
  <c r="X84" i="1" s="1"/>
  <c r="W84" i="1" a="1"/>
  <c r="W84" i="1" s="1"/>
  <c r="S84" i="1" a="1"/>
  <c r="S84" i="1"/>
  <c r="R84" i="1" a="1"/>
  <c r="R84" i="1" s="1"/>
  <c r="Q84" i="1" a="1"/>
  <c r="Q84" i="1" s="1"/>
  <c r="M84" i="1" a="1"/>
  <c r="M84" i="1" s="1"/>
  <c r="L84" i="1" a="1"/>
  <c r="L84" i="1" s="1"/>
  <c r="K84" i="1" a="1"/>
  <c r="K84" i="1"/>
  <c r="AK83" i="1" a="1"/>
  <c r="AK83" i="1"/>
  <c r="AJ83" i="1" a="1"/>
  <c r="AJ83" i="1" s="1"/>
  <c r="AI83" i="1" a="1"/>
  <c r="AI83" i="1"/>
  <c r="AE83" i="1" a="1"/>
  <c r="AE83" i="1" s="1"/>
  <c r="AD83" i="1" a="1"/>
  <c r="AD83" i="1" s="1"/>
  <c r="AC83" i="1" a="1"/>
  <c r="AC83" i="1" s="1"/>
  <c r="Y83" i="1" a="1"/>
  <c r="Y83" i="1" s="1"/>
  <c r="X83" i="1" a="1"/>
  <c r="X83" i="1" s="1"/>
  <c r="W83" i="1" a="1"/>
  <c r="W83" i="1"/>
  <c r="S83" i="1" a="1"/>
  <c r="S83" i="1" s="1"/>
  <c r="R83" i="1" a="1"/>
  <c r="R83" i="1" s="1"/>
  <c r="Q83" i="1" a="1"/>
  <c r="Q83" i="1"/>
  <c r="M83" i="1" a="1"/>
  <c r="M83" i="1" s="1"/>
  <c r="K83" i="1" a="1"/>
  <c r="K83" i="1"/>
  <c r="AK82" i="1" a="1"/>
  <c r="AK82" i="1" s="1"/>
  <c r="AJ82" i="1" a="1"/>
  <c r="AJ82" i="1" s="1"/>
  <c r="AI82" i="1" a="1"/>
  <c r="AI82" i="1" s="1"/>
  <c r="AE82" i="1" a="1"/>
  <c r="AE82" i="1" s="1"/>
  <c r="AD82" i="1" a="1"/>
  <c r="AD82" i="1" s="1"/>
  <c r="AC82" i="1" a="1"/>
  <c r="AC82" i="1"/>
  <c r="Y82" i="1" a="1"/>
  <c r="Y82" i="1" s="1"/>
  <c r="X82" i="1" a="1"/>
  <c r="X82" i="1" s="1"/>
  <c r="W82" i="1" a="1"/>
  <c r="W82" i="1"/>
  <c r="S82" i="1" a="1"/>
  <c r="S82" i="1" s="1"/>
  <c r="R82" i="1" a="1"/>
  <c r="R82" i="1" s="1"/>
  <c r="Q82" i="1" a="1"/>
  <c r="Q82" i="1"/>
  <c r="M82" i="1" a="1"/>
  <c r="M82" i="1" s="1"/>
  <c r="K82" i="1" a="1"/>
  <c r="K82" i="1" s="1"/>
  <c r="AK81" i="1" a="1"/>
  <c r="AK81" i="1" s="1"/>
  <c r="AJ81" i="1" a="1"/>
  <c r="AJ81" i="1"/>
  <c r="AI81" i="1" a="1"/>
  <c r="AI81" i="1"/>
  <c r="AE81" i="1" a="1"/>
  <c r="AE81" i="1" s="1"/>
  <c r="AD81" i="1" a="1"/>
  <c r="AD81" i="1" s="1"/>
  <c r="AC81" i="1" a="1"/>
  <c r="AC81" i="1"/>
  <c r="Y81" i="1" a="1"/>
  <c r="Y81" i="1" s="1"/>
  <c r="X81" i="1" a="1"/>
  <c r="X81" i="1" s="1"/>
  <c r="W81" i="1" a="1"/>
  <c r="W81" i="1" s="1"/>
  <c r="S81" i="1" a="1"/>
  <c r="S81" i="1" s="1"/>
  <c r="R81" i="1" a="1"/>
  <c r="R81" i="1" s="1"/>
  <c r="Q81" i="1" a="1"/>
  <c r="Q81" i="1" s="1"/>
  <c r="M81" i="1" a="1"/>
  <c r="M81" i="1" s="1"/>
  <c r="K81" i="1" a="1"/>
  <c r="K81" i="1" s="1"/>
  <c r="AK80" i="1" a="1"/>
  <c r="AK80" i="1" s="1"/>
  <c r="AJ80" i="1" a="1"/>
  <c r="AJ80" i="1"/>
  <c r="AI80" i="1" a="1"/>
  <c r="AI80" i="1" s="1"/>
  <c r="AE80" i="1" a="1"/>
  <c r="AE80" i="1" s="1"/>
  <c r="AD80" i="1" a="1"/>
  <c r="AD80" i="1" s="1"/>
  <c r="AC80" i="1" a="1"/>
  <c r="AC80" i="1" s="1"/>
  <c r="Y80" i="1" a="1"/>
  <c r="Y80" i="1" s="1"/>
  <c r="X80" i="1" a="1"/>
  <c r="X80" i="1"/>
  <c r="W80" i="1" a="1"/>
  <c r="W80" i="1" s="1"/>
  <c r="S80" i="1" a="1"/>
  <c r="S80" i="1"/>
  <c r="R80" i="1" a="1"/>
  <c r="R80" i="1"/>
  <c r="Q80" i="1" a="1"/>
  <c r="Q80" i="1" s="1"/>
  <c r="M80" i="1" a="1"/>
  <c r="M80" i="1" s="1"/>
  <c r="K80" i="1" a="1"/>
  <c r="K80" i="1"/>
  <c r="G78" i="1"/>
  <c r="AJ78" i="1" s="1"/>
  <c r="AK78" i="1" s="1"/>
  <c r="G77" i="1"/>
  <c r="AJ77" i="1" s="1"/>
  <c r="AK77" i="1" s="1"/>
  <c r="G76" i="1"/>
  <c r="R76" i="1" s="1"/>
  <c r="S76" i="1" s="1"/>
  <c r="G75" i="1"/>
  <c r="AQ75" i="1" s="1"/>
  <c r="G74" i="1"/>
  <c r="L74" i="1" s="1"/>
  <c r="M74" i="1" s="1"/>
  <c r="G73" i="1"/>
  <c r="AQ73" i="1" s="1"/>
  <c r="G72" i="1"/>
  <c r="R72" i="1" s="1"/>
  <c r="S72" i="1" s="1"/>
  <c r="G71" i="1"/>
  <c r="L71" i="1" s="1"/>
  <c r="M71" i="1" s="1"/>
  <c r="G70" i="1"/>
  <c r="R70" i="1" s="1"/>
  <c r="S70" i="1" s="1"/>
  <c r="G69" i="1"/>
  <c r="AQ69" i="1" s="1"/>
  <c r="G68" i="1"/>
  <c r="L68" i="1" s="1"/>
  <c r="M68" i="1" s="1"/>
  <c r="G67" i="1"/>
  <c r="AJ67" i="1" s="1"/>
  <c r="G66" i="1"/>
  <c r="L66" i="1" s="1"/>
  <c r="M66" i="1" s="1"/>
  <c r="G65" i="1"/>
  <c r="AQ65" i="1" s="1"/>
  <c r="G64" i="1"/>
  <c r="AQ64" i="1" s="1"/>
  <c r="G63" i="1"/>
  <c r="R63" i="1" s="1"/>
  <c r="G62" i="1"/>
  <c r="X62" i="1" s="1"/>
  <c r="Y62" i="1" s="1"/>
  <c r="G61" i="1"/>
  <c r="X61" i="1" s="1"/>
  <c r="Y61" i="1" s="1"/>
  <c r="G60" i="1"/>
  <c r="R60" i="1" s="1"/>
  <c r="S60" i="1" s="1"/>
  <c r="G59" i="1"/>
  <c r="AQ59" i="1" s="1"/>
  <c r="G58" i="1"/>
  <c r="AE58" i="1" s="1"/>
  <c r="G57" i="1"/>
  <c r="AQ57" i="1" s="1"/>
  <c r="G56" i="1"/>
  <c r="X56" i="1" s="1"/>
  <c r="Y56" i="1" s="1"/>
  <c r="G55" i="1"/>
  <c r="AQ55" i="1" s="1"/>
  <c r="G54" i="1"/>
  <c r="AQ54" i="1" s="1"/>
  <c r="G53" i="1"/>
  <c r="AD53" i="1" s="1"/>
  <c r="AE53" i="1" s="1"/>
  <c r="G52" i="1"/>
  <c r="X52" i="1" s="1"/>
  <c r="Y52" i="1" s="1"/>
  <c r="L51" i="1"/>
  <c r="M51" i="1" s="1"/>
  <c r="G50" i="1"/>
  <c r="AD50" i="1" s="1"/>
  <c r="AE50" i="1" s="1"/>
  <c r="G49" i="1"/>
  <c r="AD49" i="1" s="1"/>
  <c r="AE49" i="1" s="1"/>
  <c r="G48" i="1"/>
  <c r="R48" i="1" s="1"/>
  <c r="S48" i="1" s="1"/>
  <c r="G47" i="1"/>
  <c r="X47" i="1" s="1"/>
  <c r="G46" i="1"/>
  <c r="X46" i="1" s="1"/>
  <c r="Y46" i="1" s="1"/>
  <c r="G45" i="1"/>
  <c r="AJ45" i="1" s="1"/>
  <c r="AK45" i="1" s="1"/>
  <c r="G44" i="1"/>
  <c r="AP44" i="1" s="1"/>
  <c r="AQ44" i="1" s="1"/>
  <c r="G43" i="1"/>
  <c r="AD43" i="1" s="1"/>
  <c r="AE43" i="1" s="1"/>
  <c r="G42" i="1"/>
  <c r="AJ42" i="1" s="1"/>
  <c r="AK42" i="1" s="1"/>
  <c r="G40" i="1"/>
  <c r="AJ40" i="1" s="1"/>
  <c r="AK40" i="1" s="1"/>
  <c r="G39" i="1"/>
  <c r="AJ39" i="1" s="1"/>
  <c r="AK39" i="1" s="1"/>
  <c r="G38" i="1"/>
  <c r="R38" i="1" s="1"/>
  <c r="S38" i="1" s="1"/>
  <c r="G37" i="1"/>
  <c r="AQ37" i="1" s="1"/>
  <c r="G36" i="1"/>
  <c r="R36" i="1" s="1"/>
  <c r="S36" i="1" s="1"/>
  <c r="G35" i="1"/>
  <c r="AQ35" i="1" s="1"/>
  <c r="G34" i="1"/>
  <c r="AJ34" i="1" s="1"/>
  <c r="AK34" i="1" s="1"/>
  <c r="G33" i="1"/>
  <c r="AQ33" i="1" s="1"/>
  <c r="G32" i="1"/>
  <c r="AD32" i="1" s="1"/>
  <c r="AE32" i="1" s="1"/>
  <c r="G31" i="1"/>
  <c r="AQ31" i="1" s="1"/>
  <c r="G30" i="1"/>
  <c r="AJ30" i="1" s="1"/>
  <c r="AK30" i="1" s="1"/>
  <c r="G29" i="1"/>
  <c r="X29" i="1" s="1"/>
  <c r="Y29" i="1" s="1"/>
  <c r="G28" i="1"/>
  <c r="X28" i="1" s="1"/>
  <c r="Y28" i="1" s="1"/>
  <c r="G27" i="1"/>
  <c r="R27" i="1" s="1"/>
  <c r="S27" i="1" s="1"/>
  <c r="G26" i="1"/>
  <c r="X26" i="1" s="1"/>
  <c r="Y26" i="1" s="1"/>
  <c r="G25" i="1"/>
  <c r="R25" i="1" s="1"/>
  <c r="G24" i="1"/>
  <c r="L24" i="1" s="1"/>
  <c r="M24" i="1" s="1"/>
  <c r="G23" i="1"/>
  <c r="AQ23" i="1" s="1"/>
  <c r="G22" i="1"/>
  <c r="AD22" i="1" s="1"/>
  <c r="AE22" i="1" s="1"/>
  <c r="G21" i="1"/>
  <c r="AQ21" i="1" s="1"/>
  <c r="G20" i="1"/>
  <c r="AQ20" i="1" s="1"/>
  <c r="G19" i="1"/>
  <c r="L19" i="1" s="1"/>
  <c r="M19" i="1" s="1"/>
  <c r="G18" i="1"/>
  <c r="R18" i="1" s="1"/>
  <c r="S18" i="1" s="1"/>
  <c r="G17" i="1"/>
  <c r="L17" i="1" s="1"/>
  <c r="M17" i="1" s="1"/>
  <c r="G16" i="1"/>
  <c r="R16" i="1" s="1"/>
  <c r="S16" i="1" s="1"/>
  <c r="G15" i="1"/>
  <c r="AD15" i="1" s="1"/>
  <c r="AE15" i="1" s="1"/>
  <c r="G14" i="1"/>
  <c r="AD14" i="1" s="1"/>
  <c r="AE14" i="1" s="1"/>
  <c r="G13" i="1"/>
  <c r="AQ13" i="1" s="1"/>
  <c r="G12" i="1"/>
  <c r="AD12" i="1" s="1"/>
  <c r="AE12" i="1" s="1"/>
  <c r="G11" i="1"/>
  <c r="AJ11" i="1" s="1"/>
  <c r="AK11" i="1" s="1"/>
  <c r="G10" i="1"/>
  <c r="X10" i="1" s="1"/>
  <c r="Y10" i="1" s="1"/>
  <c r="G9" i="1"/>
  <c r="AQ9" i="1" s="1"/>
  <c r="G8" i="1"/>
  <c r="X8" i="1" s="1"/>
  <c r="Y8" i="1" s="1"/>
  <c r="G7" i="1"/>
  <c r="AJ7" i="1" s="1"/>
  <c r="H75" i="1"/>
  <c r="H20" i="1"/>
  <c r="H65" i="1"/>
  <c r="H64" i="1"/>
  <c r="H69" i="1"/>
  <c r="H23" i="1"/>
  <c r="H56" i="1"/>
  <c r="H44" i="1"/>
  <c r="H55" i="1"/>
  <c r="H57" i="1"/>
  <c r="H54" i="1"/>
  <c r="H51" i="1"/>
  <c r="L80" i="1" l="1"/>
  <c r="L79" i="1" s="1"/>
  <c r="H79" i="1" s="1"/>
  <c r="I79" i="1" s="1"/>
  <c r="H80" i="1"/>
  <c r="AQ80" i="1"/>
  <c r="AQ63" i="1"/>
  <c r="AQ47" i="1"/>
  <c r="AQ39" i="1"/>
  <c r="AQ71" i="1"/>
  <c r="AQ15" i="1"/>
  <c r="AQ78" i="1"/>
  <c r="AQ70" i="1"/>
  <c r="AQ62" i="1"/>
  <c r="AQ46" i="1"/>
  <c r="AQ38" i="1"/>
  <c r="AQ30" i="1"/>
  <c r="AQ22" i="1"/>
  <c r="AQ14" i="1"/>
  <c r="AQ77" i="1"/>
  <c r="AQ61" i="1"/>
  <c r="AQ53" i="1"/>
  <c r="AQ45" i="1"/>
  <c r="AQ29" i="1"/>
  <c r="AQ76" i="1"/>
  <c r="AQ68" i="1"/>
  <c r="AQ60" i="1"/>
  <c r="AQ52" i="1"/>
  <c r="AQ36" i="1"/>
  <c r="AQ28" i="1"/>
  <c r="AQ12" i="1"/>
  <c r="AQ67" i="1"/>
  <c r="AQ43" i="1"/>
  <c r="AQ27" i="1"/>
  <c r="AQ19" i="1"/>
  <c r="AQ11" i="1"/>
  <c r="AQ74" i="1"/>
  <c r="AQ66" i="1"/>
  <c r="AQ58" i="1"/>
  <c r="AQ50" i="1"/>
  <c r="AQ42" i="1"/>
  <c r="AQ34" i="1"/>
  <c r="AQ26" i="1"/>
  <c r="AQ18" i="1"/>
  <c r="AQ10" i="1"/>
  <c r="AQ7" i="1"/>
  <c r="AQ49" i="1"/>
  <c r="AQ25" i="1"/>
  <c r="AQ17" i="1"/>
  <c r="AQ72" i="1"/>
  <c r="AQ56" i="1"/>
  <c r="AQ48" i="1"/>
  <c r="AQ40" i="1"/>
  <c r="AQ32" i="1"/>
  <c r="AQ24" i="1"/>
  <c r="AQ16" i="1"/>
  <c r="AQ8" i="1"/>
  <c r="R78" i="1"/>
  <c r="S78" i="1" s="1"/>
  <c r="X18" i="1"/>
  <c r="Y18" i="1" s="1"/>
  <c r="AD45" i="1"/>
  <c r="L43" i="1"/>
  <c r="AD70" i="1"/>
  <c r="X16" i="1"/>
  <c r="Y16" i="1" s="1"/>
  <c r="R40" i="1"/>
  <c r="S40" i="1" s="1"/>
  <c r="L61" i="1"/>
  <c r="AJ61" i="1"/>
  <c r="AK61" i="1" s="1"/>
  <c r="L21" i="1"/>
  <c r="M21" i="1" s="1"/>
  <c r="X67" i="1"/>
  <c r="Y67" i="1" s="1"/>
  <c r="L11" i="1"/>
  <c r="X76" i="1"/>
  <c r="Y76" i="1" s="1"/>
  <c r="AD46" i="1"/>
  <c r="AD66" i="1"/>
  <c r="L78" i="1"/>
  <c r="M78" i="1" s="1"/>
  <c r="AD29" i="1"/>
  <c r="L53" i="1"/>
  <c r="S63" i="1"/>
  <c r="R53" i="1"/>
  <c r="S53" i="1" s="1"/>
  <c r="L10" i="1"/>
  <c r="L26" i="1"/>
  <c r="M26" i="1" s="1"/>
  <c r="R30" i="1"/>
  <c r="S30" i="1" s="1"/>
  <c r="X43" i="1"/>
  <c r="Y43" i="1" s="1"/>
  <c r="AJ53" i="1"/>
  <c r="AK53" i="1" s="1"/>
  <c r="AD26" i="1"/>
  <c r="L7" i="1"/>
  <c r="M7" i="1" s="1"/>
  <c r="R71" i="1"/>
  <c r="S71" i="1" s="1"/>
  <c r="L12" i="1"/>
  <c r="L28" i="1"/>
  <c r="M28" i="1" s="1"/>
  <c r="R67" i="1"/>
  <c r="S67" i="1" s="1"/>
  <c r="AD71" i="1"/>
  <c r="I80" i="1"/>
  <c r="R12" i="1"/>
  <c r="S12" i="1" s="1"/>
  <c r="L37" i="1"/>
  <c r="X40" i="1"/>
  <c r="Y40" i="1" s="1"/>
  <c r="R50" i="1"/>
  <c r="S50" i="1" s="1"/>
  <c r="L58" i="1"/>
  <c r="AD67" i="1"/>
  <c r="AK7" i="1"/>
  <c r="R58" i="1"/>
  <c r="S58" i="1" s="1"/>
  <c r="R7" i="1"/>
  <c r="S7" i="1" s="1"/>
  <c r="AD28" i="1"/>
  <c r="L42" i="1"/>
  <c r="L45" i="1"/>
  <c r="Y47" i="1"/>
  <c r="L52" i="1"/>
  <c r="M52" i="1" s="1"/>
  <c r="L62" i="1"/>
  <c r="M62" i="1" s="1"/>
  <c r="AK67" i="1"/>
  <c r="X68" i="1"/>
  <c r="Y68" i="1" s="1"/>
  <c r="X7" i="1"/>
  <c r="Y7" i="1" s="1"/>
  <c r="S25" i="1"/>
  <c r="R34" i="1"/>
  <c r="S34" i="1" s="1"/>
  <c r="L39" i="1"/>
  <c r="X42" i="1"/>
  <c r="Y42" i="1" s="1"/>
  <c r="AD52" i="1"/>
  <c r="X60" i="1"/>
  <c r="Y60" i="1" s="1"/>
  <c r="AD62" i="1"/>
  <c r="L67" i="1"/>
  <c r="M67" i="1" s="1"/>
  <c r="AD68" i="1"/>
  <c r="AD7" i="1"/>
  <c r="R45" i="1"/>
  <c r="S45" i="1" s="1"/>
  <c r="R73" i="1"/>
  <c r="S73" i="1" s="1"/>
  <c r="X45" i="1"/>
  <c r="Y45" i="1" s="1"/>
  <c r="L14" i="1"/>
  <c r="R17" i="1"/>
  <c r="S17" i="1" s="1"/>
  <c r="R19" i="1"/>
  <c r="S19" i="1" s="1"/>
  <c r="R21" i="1"/>
  <c r="S21" i="1" s="1"/>
  <c r="X24" i="1"/>
  <c r="X27" i="1"/>
  <c r="Y27" i="1" s="1"/>
  <c r="X30" i="1"/>
  <c r="Y30" i="1" s="1"/>
  <c r="X34" i="1"/>
  <c r="Y34" i="1" s="1"/>
  <c r="AD38" i="1"/>
  <c r="AJ43" i="1"/>
  <c r="AK43" i="1" s="1"/>
  <c r="X48" i="1"/>
  <c r="Y48" i="1" s="1"/>
  <c r="AJ52" i="1"/>
  <c r="AK52" i="1" s="1"/>
  <c r="AJ71" i="1"/>
  <c r="AD73" i="1"/>
  <c r="AD76" i="1"/>
  <c r="X11" i="1"/>
  <c r="R14" i="1"/>
  <c r="S14" i="1" s="1"/>
  <c r="X17" i="1"/>
  <c r="Y17" i="1" s="1"/>
  <c r="X19" i="1"/>
  <c r="Y19" i="1" s="1"/>
  <c r="X21" i="1"/>
  <c r="Y21" i="1" s="1"/>
  <c r="AD48" i="1"/>
  <c r="L50" i="1"/>
  <c r="R66" i="1"/>
  <c r="S66" i="1" s="1"/>
  <c r="X70" i="1"/>
  <c r="Y70" i="1" s="1"/>
  <c r="AJ14" i="1"/>
  <c r="AK14" i="1" s="1"/>
  <c r="AD19" i="1"/>
  <c r="AD21" i="1"/>
  <c r="L77" i="1"/>
  <c r="AD17" i="1"/>
  <c r="AJ21" i="1"/>
  <c r="AK21" i="1" s="1"/>
  <c r="X25" i="1"/>
  <c r="Y25" i="1" s="1"/>
  <c r="L32" i="1"/>
  <c r="AD36" i="1"/>
  <c r="R49" i="1"/>
  <c r="AJ50" i="1"/>
  <c r="AK50" i="1" s="1"/>
  <c r="AD60" i="1"/>
  <c r="X72" i="1"/>
  <c r="Y72" i="1" s="1"/>
  <c r="R74" i="1"/>
  <c r="S74" i="1" s="1"/>
  <c r="R32" i="1"/>
  <c r="S32" i="1" s="1"/>
  <c r="AD72" i="1"/>
  <c r="X74" i="1"/>
  <c r="Y74" i="1" s="1"/>
  <c r="Y49" i="1"/>
  <c r="I56" i="1"/>
  <c r="I64" i="1"/>
  <c r="I69" i="1"/>
  <c r="I75" i="1"/>
  <c r="I23" i="1"/>
  <c r="X33" i="1"/>
  <c r="Y33" i="1" s="1"/>
  <c r="AD33" i="1"/>
  <c r="R33" i="1"/>
  <c r="S33" i="1" s="1"/>
  <c r="L33" i="1"/>
  <c r="M33" i="1" s="1"/>
  <c r="I54" i="1"/>
  <c r="AJ35" i="1"/>
  <c r="AK35" i="1" s="1"/>
  <c r="X35" i="1"/>
  <c r="Y35" i="1" s="1"/>
  <c r="L35" i="1"/>
  <c r="I55" i="1"/>
  <c r="X41" i="1"/>
  <c r="Y41" i="1" s="1"/>
  <c r="R41" i="1"/>
  <c r="S41" i="1" s="1"/>
  <c r="L41" i="1"/>
  <c r="M41" i="1" s="1"/>
  <c r="AJ41" i="1"/>
  <c r="AK41" i="1" s="1"/>
  <c r="AD41" i="1"/>
  <c r="X13" i="1"/>
  <c r="Y13" i="1" s="1"/>
  <c r="L13" i="1"/>
  <c r="M13" i="1" s="1"/>
  <c r="R13" i="1"/>
  <c r="S13" i="1" s="1"/>
  <c r="AJ13" i="1"/>
  <c r="AK13" i="1" s="1"/>
  <c r="AD13" i="1"/>
  <c r="I20" i="1"/>
  <c r="I65" i="1"/>
  <c r="I57" i="1"/>
  <c r="I44" i="1"/>
  <c r="X59" i="1"/>
  <c r="Y59" i="1" s="1"/>
  <c r="S59" i="1"/>
  <c r="L59" i="1"/>
  <c r="X9" i="1"/>
  <c r="Y9" i="1" s="1"/>
  <c r="L9" i="1"/>
  <c r="M9" i="1" s="1"/>
  <c r="AD9" i="1"/>
  <c r="R9" i="1"/>
  <c r="S9" i="1" s="1"/>
  <c r="AJ9" i="1"/>
  <c r="AK9" i="1" s="1"/>
  <c r="X31" i="1"/>
  <c r="AD63" i="1"/>
  <c r="AD18" i="1"/>
  <c r="L8" i="1"/>
  <c r="X12" i="1"/>
  <c r="X14" i="1"/>
  <c r="L16" i="1"/>
  <c r="M16" i="1" s="1"/>
  <c r="AJ16" i="1"/>
  <c r="AK16" i="1" s="1"/>
  <c r="L18" i="1"/>
  <c r="M18" i="1" s="1"/>
  <c r="AJ18" i="1"/>
  <c r="AK18" i="1" s="1"/>
  <c r="L22" i="1"/>
  <c r="R26" i="1"/>
  <c r="R28" i="1"/>
  <c r="AD30" i="1"/>
  <c r="X32" i="1"/>
  <c r="AD34" i="1"/>
  <c r="L36" i="1"/>
  <c r="L38" i="1"/>
  <c r="AD40" i="1"/>
  <c r="L46" i="1"/>
  <c r="L48" i="1"/>
  <c r="X50" i="1"/>
  <c r="I51" i="1"/>
  <c r="R52" i="1"/>
  <c r="X58" i="1"/>
  <c r="L60" i="1"/>
  <c r="AJ60" i="1"/>
  <c r="AK60" i="1" s="1"/>
  <c r="R62" i="1"/>
  <c r="AJ66" i="1"/>
  <c r="AJ68" i="1"/>
  <c r="L70" i="1"/>
  <c r="AJ70" i="1"/>
  <c r="AK70" i="1" s="1"/>
  <c r="L72" i="1"/>
  <c r="AD74" i="1"/>
  <c r="L76" i="1"/>
  <c r="AJ76" i="1"/>
  <c r="AK76" i="1" s="1"/>
  <c r="AD78" i="1"/>
  <c r="AJ36" i="1"/>
  <c r="AK36" i="1" s="1"/>
  <c r="AJ38" i="1"/>
  <c r="AK38" i="1" s="1"/>
  <c r="AD25" i="1"/>
  <c r="AD27" i="1"/>
  <c r="L25" i="1"/>
  <c r="M25" i="1" s="1"/>
  <c r="L29" i="1"/>
  <c r="L63" i="1"/>
  <c r="M63" i="1" s="1"/>
  <c r="AD16" i="1"/>
  <c r="AJ63" i="1"/>
  <c r="AK63" i="1" s="1"/>
  <c r="R15" i="1"/>
  <c r="AJ25" i="1"/>
  <c r="AK25" i="1" s="1"/>
  <c r="L27" i="1"/>
  <c r="M27" i="1" s="1"/>
  <c r="AJ27" i="1"/>
  <c r="AK27" i="1" s="1"/>
  <c r="R47" i="1"/>
  <c r="L30" i="1"/>
  <c r="M30" i="1" s="1"/>
  <c r="L34" i="1"/>
  <c r="M34" i="1" s="1"/>
  <c r="L40" i="1"/>
  <c r="M40" i="1" s="1"/>
  <c r="H70" i="1"/>
  <c r="H39" i="1"/>
  <c r="H32" i="1"/>
  <c r="H59" i="1"/>
  <c r="H78" i="1"/>
  <c r="H73" i="1"/>
  <c r="H9" i="1"/>
  <c r="H42" i="1"/>
  <c r="H62" i="1"/>
  <c r="H58" i="1"/>
  <c r="H63" i="1"/>
  <c r="H33" i="1"/>
  <c r="H31" i="1"/>
  <c r="H17" i="1"/>
  <c r="H61" i="1"/>
  <c r="H30" i="1"/>
  <c r="H12" i="1"/>
  <c r="H77" i="1"/>
  <c r="H10" i="1"/>
  <c r="H34" i="1"/>
  <c r="H45" i="1"/>
  <c r="H18" i="1"/>
  <c r="H49" i="1"/>
  <c r="H29" i="1"/>
  <c r="H38" i="1"/>
  <c r="H43" i="1"/>
  <c r="H60" i="1"/>
  <c r="H11" i="1"/>
  <c r="H16" i="1"/>
  <c r="H52" i="1"/>
  <c r="H66" i="1"/>
  <c r="H40" i="1"/>
  <c r="H71" i="1"/>
  <c r="H19" i="1"/>
  <c r="H74" i="1"/>
  <c r="H7" i="1"/>
  <c r="H47" i="1"/>
  <c r="H35" i="1"/>
  <c r="H76" i="1"/>
  <c r="H14" i="1"/>
  <c r="H15" i="1"/>
  <c r="H37" i="1"/>
  <c r="H72" i="1"/>
  <c r="H68" i="1"/>
  <c r="H36" i="1"/>
  <c r="H8" i="1"/>
  <c r="H28" i="1"/>
  <c r="H25" i="1"/>
  <c r="H22" i="1"/>
  <c r="H41" i="1"/>
  <c r="H13" i="1"/>
  <c r="H21" i="1"/>
  <c r="H27" i="1"/>
  <c r="H53" i="1"/>
  <c r="H50" i="1"/>
  <c r="H46" i="1"/>
  <c r="H67" i="1"/>
  <c r="H24" i="1"/>
  <c r="H48" i="1"/>
  <c r="H26" i="1"/>
  <c r="AQ2" i="1" l="1"/>
  <c r="AE76" i="1"/>
  <c r="AE67" i="1"/>
  <c r="M50" i="1"/>
  <c r="M58" i="1"/>
  <c r="AE71" i="1"/>
  <c r="AE48" i="1"/>
  <c r="AE66" i="1"/>
  <c r="AE60" i="1"/>
  <c r="M77" i="1"/>
  <c r="AE68" i="1"/>
  <c r="AE46" i="1"/>
  <c r="AE28" i="1"/>
  <c r="M12" i="1"/>
  <c r="AE70" i="1"/>
  <c r="S49" i="1"/>
  <c r="AE62" i="1"/>
  <c r="M11" i="1"/>
  <c r="M43" i="1"/>
  <c r="AE29" i="1"/>
  <c r="AE36" i="1"/>
  <c r="M14" i="1"/>
  <c r="AE45" i="1"/>
  <c r="AE38" i="1"/>
  <c r="AE72" i="1"/>
  <c r="M32" i="1"/>
  <c r="AE52" i="1"/>
  <c r="AE26" i="1"/>
  <c r="M53" i="1"/>
  <c r="I61" i="1"/>
  <c r="M61" i="1"/>
  <c r="I10" i="1"/>
  <c r="I53" i="1"/>
  <c r="M10" i="1"/>
  <c r="I7" i="1"/>
  <c r="I39" i="1"/>
  <c r="I45" i="1"/>
  <c r="I42" i="1"/>
  <c r="I37" i="1"/>
  <c r="I67" i="1"/>
  <c r="AE7" i="1"/>
  <c r="M39" i="1"/>
  <c r="M42" i="1"/>
  <c r="M45" i="1"/>
  <c r="M37" i="1"/>
  <c r="I11" i="1"/>
  <c r="I17" i="1"/>
  <c r="I77" i="1"/>
  <c r="I73" i="1"/>
  <c r="I21" i="1"/>
  <c r="I71" i="1"/>
  <c r="I24" i="1"/>
  <c r="I49" i="1"/>
  <c r="I19" i="1"/>
  <c r="I43" i="1"/>
  <c r="Y11" i="1"/>
  <c r="AE21" i="1"/>
  <c r="Y24" i="1"/>
  <c r="AE73" i="1"/>
  <c r="AE19" i="1"/>
  <c r="AK71" i="1"/>
  <c r="AE17" i="1"/>
  <c r="I16" i="1"/>
  <c r="I58" i="1"/>
  <c r="I38" i="1"/>
  <c r="I26" i="1"/>
  <c r="I14" i="1"/>
  <c r="I18" i="1"/>
  <c r="I60" i="1"/>
  <c r="I70" i="1"/>
  <c r="I52" i="1"/>
  <c r="I36" i="1"/>
  <c r="I12" i="1"/>
  <c r="I63" i="1"/>
  <c r="I9" i="1"/>
  <c r="I34" i="1"/>
  <c r="I22" i="1"/>
  <c r="I8" i="1"/>
  <c r="I78" i="1"/>
  <c r="I50" i="1"/>
  <c r="I32" i="1"/>
  <c r="I41" i="1"/>
  <c r="I35" i="1"/>
  <c r="I33" i="1"/>
  <c r="I68" i="1"/>
  <c r="I29" i="1"/>
  <c r="I47" i="1"/>
  <c r="I48" i="1"/>
  <c r="I30" i="1"/>
  <c r="I31" i="1"/>
  <c r="I40" i="1"/>
  <c r="I15" i="1"/>
  <c r="I66" i="1"/>
  <c r="I27" i="1"/>
  <c r="I76" i="1"/>
  <c r="I62" i="1"/>
  <c r="I13" i="1"/>
  <c r="I72" i="1"/>
  <c r="I25" i="1"/>
  <c r="I74" i="1"/>
  <c r="I46" i="1"/>
  <c r="I28" i="1"/>
  <c r="I59" i="1"/>
  <c r="AE16" i="1"/>
  <c r="Y58" i="1"/>
  <c r="M38" i="1"/>
  <c r="S26" i="1"/>
  <c r="Y14" i="1"/>
  <c r="AE18" i="1"/>
  <c r="M60" i="1"/>
  <c r="M70" i="1"/>
  <c r="S52" i="1"/>
  <c r="M36" i="1"/>
  <c r="Y12" i="1"/>
  <c r="AE63" i="1"/>
  <c r="AE9" i="1"/>
  <c r="AE34" i="1"/>
  <c r="M22" i="1"/>
  <c r="M8" i="1"/>
  <c r="AE78" i="1"/>
  <c r="Y50" i="1"/>
  <c r="Y32" i="1"/>
  <c r="AE41" i="1"/>
  <c r="M35" i="1"/>
  <c r="AE33" i="1"/>
  <c r="AK68" i="1"/>
  <c r="M29" i="1"/>
  <c r="S47" i="1"/>
  <c r="M48" i="1"/>
  <c r="AE30" i="1"/>
  <c r="Y31" i="1"/>
  <c r="AE40" i="1"/>
  <c r="S15" i="1"/>
  <c r="AK66" i="1"/>
  <c r="AE27" i="1"/>
  <c r="M76" i="1"/>
  <c r="S62" i="1"/>
  <c r="AE13" i="1"/>
  <c r="M72" i="1"/>
  <c r="AE25" i="1"/>
  <c r="AE74" i="1"/>
  <c r="M46" i="1"/>
  <c r="S28" i="1"/>
  <c r="M59" i="1"/>
  <c r="I2" i="1" l="1"/>
  <c r="AK2" i="1"/>
  <c r="S2" i="1"/>
  <c r="Y2" i="1"/>
  <c r="M2" i="1"/>
  <c r="AE2" i="1"/>
  <c r="I3" i="1" l="1"/>
  <c r="D85" i="1" s="1"/>
  <c r="D86" i="1" s="1"/>
  <c r="G87" i="1" s="1"/>
  <c r="D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2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3000000}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 xr:uid="{00000000-0006-0000-0000-000004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 shapeId="0" xr:uid="{00000000-0006-0000-0000-000005000000}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 shapeId="0" xr:uid="{00000000-0006-0000-0000-000007000000}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 shapeId="0" xr:uid="{00000000-0006-0000-0000-000008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 shapeId="0" xr:uid="{00000000-0006-0000-0000-00000A000000}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 shapeId="0" xr:uid="{00000000-0006-0000-0000-00000B000000}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 shapeId="0" xr:uid="{00000000-0006-0000-0000-00000C000000}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 shapeId="0" xr:uid="{00000000-0006-0000-0000-00000D000000}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 shapeId="0" xr:uid="{00000000-0006-0000-0000-00000E000000}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 shapeId="0" xr:uid="{00000000-0006-0000-0000-00000F000000}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 shapeId="0" xr:uid="{00000000-0006-0000-0000-000010000000}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 shapeId="0" xr:uid="{00000000-0006-0000-0000-000011000000}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 shapeId="0" xr:uid="{00000000-0006-0000-0000-000012000000}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 shapeId="0" xr:uid="{00000000-0006-0000-0000-000013000000}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 shapeId="0" xr:uid="{00000000-0006-0000-0000-000014000000}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 shapeId="0" xr:uid="{00000000-0006-0000-0000-000015000000}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 shapeId="0" xr:uid="{00000000-0006-0000-0000-000016000000}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 shapeId="0" xr:uid="{00000000-0006-0000-0000-000017000000}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 shapeId="0" xr:uid="{00000000-0006-0000-0000-000018000000}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 shapeId="0" xr:uid="{00000000-0006-0000-0000-000019000000}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 shapeId="0" xr:uid="{00000000-0006-0000-0000-00001A000000}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 shapeId="0" xr:uid="{00000000-0006-0000-0000-00001B000000}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 shapeId="0" xr:uid="{00000000-0006-0000-0000-00001C000000}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 shapeId="0" xr:uid="{00000000-0006-0000-0000-00001D000000}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 shapeId="0" xr:uid="{00000000-0006-0000-0000-00001E000000}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 shapeId="0" xr:uid="{00000000-0006-0000-0000-00001F000000}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 shapeId="0" xr:uid="{00000000-0006-0000-0000-000020000000}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 shapeId="0" xr:uid="{00000000-0006-0000-0000-000021000000}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 shapeId="0" xr:uid="{00000000-0006-0000-0000-000022000000}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 shapeId="0" xr:uid="{00000000-0006-0000-0000-000023000000}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 shapeId="0" xr:uid="{00000000-0006-0000-0000-000024000000}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 shapeId="0" xr:uid="{00000000-0006-0000-0000-000025000000}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 shapeId="0" xr:uid="{00000000-0006-0000-0000-000026000000}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 shapeId="0" xr:uid="{00000000-0006-0000-0000-000027000000}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N6" authorId="0" shapeId="0" xr:uid="{00000000-0006-0000-0000-000028000000}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O6" authorId="0" shapeId="0" xr:uid="{00000000-0006-0000-0000-000029000000}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P6" authorId="0" shapeId="0" xr:uid="{00000000-0006-0000-0000-00002A000000}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Q6" authorId="0" shapeId="0" xr:uid="{00000000-0006-0000-0000-00002B000000}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R6" authorId="0" shapeId="0" xr:uid="{00000000-0006-0000-0000-00002C000000}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S6" authorId="0" shapeId="0" xr:uid="{00000000-0006-0000-0000-00002D000000}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<sst xmlns="http://schemas.openxmlformats.org/spreadsheetml/2006/main" count="892" uniqueCount="547">
  <si>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</si>
  <si>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</si>
  <si>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</si>
  <si>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</si>
  <si>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</si>
  <si>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</si>
  <si>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</si>
  <si>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</si>
  <si>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</si>
  <si>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</si>
  <si>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C29</t>
  </si>
  <si>
    <t>08055C103KAT2A</t>
  </si>
  <si>
    <t>AVX</t>
  </si>
  <si>
    <t>Capacitors_SMD:C_0805</t>
  </si>
  <si>
    <t>10nF</t>
  </si>
  <si>
    <t>D1</t>
  </si>
  <si>
    <t>LTL-4291N</t>
  </si>
  <si>
    <t>Lite-On Technology</t>
  </si>
  <si>
    <t>LEDs:LED_D3.0mm_Horizontal_O6.35mm_Z6.0mm</t>
  </si>
  <si>
    <t>USB Power</t>
  </si>
  <si>
    <t>J1</t>
  </si>
  <si>
    <t>10118193-0001LF</t>
  </si>
  <si>
    <t>Amphenol FCI</t>
  </si>
  <si>
    <t>kicad-libs-master:USB-MICRO-B-FCI-10118193</t>
  </si>
  <si>
    <t>MICROUSB</t>
  </si>
  <si>
    <t>CON2</t>
  </si>
  <si>
    <t>PJ-082BH</t>
  </si>
  <si>
    <t>CUI Inc</t>
  </si>
  <si>
    <t>Connect:JACK_ALIM</t>
  </si>
  <si>
    <t>BARREL_JACK</t>
  </si>
  <si>
    <t>Q4-Q9</t>
  </si>
  <si>
    <t>IRLML6401GTRPBF</t>
  </si>
  <si>
    <t>Infineon Technologies AG</t>
  </si>
  <si>
    <t>TO_SOT_Packages_SMD:SOT-23</t>
  </si>
  <si>
    <t>IRLML6401</t>
  </si>
  <si>
    <t>C40</t>
  </si>
  <si>
    <t>EMK212B7474KD-T</t>
  </si>
  <si>
    <t>Taiyo Yuden</t>
  </si>
  <si>
    <t>470nF</t>
  </si>
  <si>
    <t>C1,C3-C10,C15-C17,C27,C34,C35,C38,C48</t>
  </si>
  <si>
    <t>08053C104KAT2A</t>
  </si>
  <si>
    <t>100n</t>
  </si>
  <si>
    <t>Q3</t>
  </si>
  <si>
    <t>CSD18509Q5B</t>
  </si>
  <si>
    <t>Texas Instruments</t>
  </si>
  <si>
    <t>Personal:AB2_SON5x6_FET</t>
  </si>
  <si>
    <t>D6</t>
  </si>
  <si>
    <t>MCL034MD</t>
  </si>
  <si>
    <t>Lite-On</t>
  </si>
  <si>
    <t>Led_Small_3mm</t>
  </si>
  <si>
    <t>R7,R32</t>
  </si>
  <si>
    <t>RC0805JR-0722RL</t>
  </si>
  <si>
    <t>Yageo</t>
  </si>
  <si>
    <t>Resistors_SMD:R_0805</t>
  </si>
  <si>
    <t>22R</t>
  </si>
  <si>
    <t>R33</t>
  </si>
  <si>
    <t>RC0805JR-07470KL</t>
  </si>
  <si>
    <t>470K</t>
  </si>
  <si>
    <t>U8</t>
  </si>
  <si>
    <t>LM4040DIM3-4.1/NOPB</t>
  </si>
  <si>
    <t>LM4040N-4.1</t>
  </si>
  <si>
    <t>R35</t>
  </si>
  <si>
    <t>CRCW0805464RFKEA</t>
  </si>
  <si>
    <t>Vishay</t>
  </si>
  <si>
    <t>1K07</t>
  </si>
  <si>
    <t>SW1</t>
  </si>
  <si>
    <t>Buttons_Switches_SMD:SW_SPST_B3U-1000P</t>
  </si>
  <si>
    <t>Reset</t>
  </si>
  <si>
    <t>C43</t>
  </si>
  <si>
    <t>6SVPC330M</t>
  </si>
  <si>
    <t>Panasonic</t>
  </si>
  <si>
    <t>Capacitors_SMD:CP_Elec_6.3x5.8</t>
  </si>
  <si>
    <t>330uF</t>
  </si>
  <si>
    <t>U2,U4-U7,U14</t>
  </si>
  <si>
    <t>LT6106IS5#TRPBF</t>
  </si>
  <si>
    <t>Linear Technology</t>
  </si>
  <si>
    <t>TO_SOT_Packages_SMD:SOT-23-5</t>
  </si>
  <si>
    <t>LT6106</t>
  </si>
  <si>
    <t>D11</t>
  </si>
  <si>
    <t>SK152-TP</t>
  </si>
  <si>
    <t>Micro Commercial Components</t>
  </si>
  <si>
    <t>agg:DO-214AB-SMC</t>
  </si>
  <si>
    <t>D9</t>
  </si>
  <si>
    <t>Power DC</t>
  </si>
  <si>
    <t>R36</t>
  </si>
  <si>
    <t>ERJ-6ENF7322V</t>
  </si>
  <si>
    <t>73K2</t>
  </si>
  <si>
    <t>R28,R38,R45</t>
  </si>
  <si>
    <t>RC0805JR-07100KL</t>
  </si>
  <si>
    <t>100K</t>
  </si>
  <si>
    <t>R3,R4,R6,R8-R10,R13,R15-R17,R19,R26,R27,R30,R39,R40,R42</t>
  </si>
  <si>
    <t>RC0805JR-0710KL</t>
  </si>
  <si>
    <t>10K</t>
  </si>
  <si>
    <t>C41</t>
  </si>
  <si>
    <t>EMK212B7105KG-T</t>
  </si>
  <si>
    <t>1uF</t>
  </si>
  <si>
    <t>C18-C20,C28,C36,C44,C45</t>
  </si>
  <si>
    <t>EMK212ABJ106KG-T</t>
  </si>
  <si>
    <t>10uF</t>
  </si>
  <si>
    <t>D3</t>
  </si>
  <si>
    <t>CD1206-S01575</t>
  </si>
  <si>
    <t>Bourns</t>
  </si>
  <si>
    <t>Diodes_SMD:D_1206</t>
  </si>
  <si>
    <t>Y2</t>
  </si>
  <si>
    <t>LFXTAL058709Cutt</t>
  </si>
  <si>
    <t>IQD</t>
  </si>
  <si>
    <t>Crystals:Crystal_SMD_5032-4pin_5.0x3.2mm</t>
  </si>
  <si>
    <t>16.000 Mhz</t>
  </si>
  <si>
    <t>Y1</t>
  </si>
  <si>
    <t>9C-12.000MAAJ-T</t>
  </si>
  <si>
    <t>TXC Corporation</t>
  </si>
  <si>
    <t>Crystals:Crystal_HC49-SD_SMD</t>
  </si>
  <si>
    <t>12Mhz</t>
  </si>
  <si>
    <t>R37</t>
  </si>
  <si>
    <t>ERJ-6ENF1002V</t>
  </si>
  <si>
    <t>U12</t>
  </si>
  <si>
    <t>UA78M33CDCY</t>
  </si>
  <si>
    <t>TO_SOT_Packages_SMD:SOT-223-3Lead_TabPin2</t>
  </si>
  <si>
    <t>5v to 3.3v LDO</t>
  </si>
  <si>
    <t>D2</t>
  </si>
  <si>
    <t>LB Q39E-L2OO-35-1</t>
  </si>
  <si>
    <t>OSRAM Opto Semiconductors</t>
  </si>
  <si>
    <t>LEDs:LED_0603</t>
  </si>
  <si>
    <t>MC Status</t>
  </si>
  <si>
    <t>U3</t>
  </si>
  <si>
    <t>ATMEGA32U4-AU</t>
  </si>
  <si>
    <t>Atmel</t>
  </si>
  <si>
    <t>Housings_QFP:LQFP-44_10x10mm_Pitch0.8mm</t>
  </si>
  <si>
    <t>C2</t>
  </si>
  <si>
    <t>CL21B334KOCNNNC</t>
  </si>
  <si>
    <t>Samsung Electro-Mechanics</t>
  </si>
  <si>
    <t>0.33uF</t>
  </si>
  <si>
    <t>Q2</t>
  </si>
  <si>
    <t>CSD16321Q5</t>
  </si>
  <si>
    <t>C47,C49</t>
  </si>
  <si>
    <t>CL21B105KPFNNNE</t>
  </si>
  <si>
    <t>F7,F8</t>
  </si>
  <si>
    <t>MF-MSMF050-2</t>
  </si>
  <si>
    <t>Resistors_SMD:R_1812</t>
  </si>
  <si>
    <t>MSMF050-2</t>
  </si>
  <si>
    <t>L8,L9</t>
  </si>
  <si>
    <t>742792641</t>
  </si>
  <si>
    <t>WГјrth Elektronik</t>
  </si>
  <si>
    <t>Inductors_SMD:L_0603</t>
  </si>
  <si>
    <t>WE-CBF</t>
  </si>
  <si>
    <t>C24,C30,C33</t>
  </si>
  <si>
    <t>CC0603KPX7R7BB104</t>
  </si>
  <si>
    <t>Capacitors_SMD:C_0603</t>
  </si>
  <si>
    <t>0.1uF</t>
  </si>
  <si>
    <t>C25,C32</t>
  </si>
  <si>
    <t>CC0603JRNPO8BN220</t>
  </si>
  <si>
    <t>22pF</t>
  </si>
  <si>
    <t>U9</t>
  </si>
  <si>
    <t>FE1.1s-BSOP28B</t>
  </si>
  <si>
    <t>Terminus</t>
  </si>
  <si>
    <t>Housings_SSOP:TSSOP-28_4.4x9.7mm_Pitch0.65mm</t>
  </si>
  <si>
    <t>FE1.1s</t>
  </si>
  <si>
    <t>RV1,RV2</t>
  </si>
  <si>
    <t>CG0603MLC-05E</t>
  </si>
  <si>
    <t>D10</t>
  </si>
  <si>
    <t>SM5817PL-TP</t>
  </si>
  <si>
    <t>Diodes_SMD:SOD-123</t>
  </si>
  <si>
    <t>SKL14</t>
  </si>
  <si>
    <t>L3</t>
  </si>
  <si>
    <t>XAL1010-472MEB</t>
  </si>
  <si>
    <t>Coilcraft</t>
  </si>
  <si>
    <t>4.7uH 5.2mOhm</t>
  </si>
  <si>
    <t>C39</t>
  </si>
  <si>
    <t>CC0805KRX7R9BB153</t>
  </si>
  <si>
    <t>15nF</t>
  </si>
  <si>
    <t>P10</t>
  </si>
  <si>
    <t>2411 03</t>
  </si>
  <si>
    <t>LUMBERG</t>
  </si>
  <si>
    <t>Connect:USB_B</t>
  </si>
  <si>
    <t>USB_B</t>
  </si>
  <si>
    <t>R14,R22-R25,R41,R43,R44,R47</t>
  </si>
  <si>
    <t>RC0805JR-07100RL</t>
  </si>
  <si>
    <t>100R</t>
  </si>
  <si>
    <t>Q1</t>
  </si>
  <si>
    <t>Infineon Technologies</t>
  </si>
  <si>
    <t>TO_SOT_Packages_SMD1:TO-252-2Lead</t>
  </si>
  <si>
    <t>IRFR5305PBF</t>
  </si>
  <si>
    <t>R1,R46</t>
  </si>
  <si>
    <t>RC0805JR-07470RL</t>
  </si>
  <si>
    <t>470R</t>
  </si>
  <si>
    <t>U1</t>
  </si>
  <si>
    <t>24LC02BT-I/SN</t>
  </si>
  <si>
    <t>Microchip Technology</t>
  </si>
  <si>
    <t>Housings_SOIC:SOIC-8_3.9x4.9mm_Pitch1.27mm</t>
  </si>
  <si>
    <t>24LC02</t>
  </si>
  <si>
    <t>U10</t>
  </si>
  <si>
    <t>ESP8266:ESP-12E</t>
  </si>
  <si>
    <t>ESP-07v2</t>
  </si>
  <si>
    <t>TP1</t>
  </si>
  <si>
    <t>Measurement_Points:Measurement_Point_Round-SMD-Pad_Small</t>
  </si>
  <si>
    <t>TEST</t>
  </si>
  <si>
    <t>F1-F6</t>
  </si>
  <si>
    <t>C1S 3.5</t>
  </si>
  <si>
    <t>BEL Group</t>
  </si>
  <si>
    <t>Fuse_Holders_and_Fuses:Fuse_SMD1206_Reflow</t>
  </si>
  <si>
    <t>F_Small</t>
  </si>
  <si>
    <t>P8</t>
  </si>
  <si>
    <t>Pin_Headers:Pin_Header_Straight_1x03</t>
  </si>
  <si>
    <t>CONN_01X03</t>
  </si>
  <si>
    <t>L1</t>
  </si>
  <si>
    <t>MH2029-300Y</t>
  </si>
  <si>
    <t>Inductors_SMD:L_0805</t>
  </si>
  <si>
    <t>LED1-LED4</t>
  </si>
  <si>
    <t>APA3010CGCK-GX</t>
  </si>
  <si>
    <t>Kingbright</t>
  </si>
  <si>
    <t>Inductors_SMD:L_1806</t>
  </si>
  <si>
    <t>Led_Small</t>
  </si>
  <si>
    <t>L2,L5-L7,L10</t>
  </si>
  <si>
    <t>744232090</t>
  </si>
  <si>
    <t>Inductors_SMD:L_1206</t>
  </si>
  <si>
    <t>WE-CNSW</t>
  </si>
  <si>
    <t>L4</t>
  </si>
  <si>
    <t>BLM41PG471SN1L</t>
  </si>
  <si>
    <t>Murata Electronics</t>
  </si>
  <si>
    <t>Resistors_SMD:R_0805_HandSoldering</t>
  </si>
  <si>
    <t>Bead/100MHZ/470ohm/2A</t>
  </si>
  <si>
    <t>R2,R11,R12,R18,R20,R21</t>
  </si>
  <si>
    <t>ERJ8CWFR020V</t>
  </si>
  <si>
    <t>Resistors_SMD:R_1206</t>
  </si>
  <si>
    <t>0.02R</t>
  </si>
  <si>
    <t>C11-C14,C21-C23,C42</t>
  </si>
  <si>
    <t>C0805C102K5RACTU</t>
  </si>
  <si>
    <t>KEMET Corporation</t>
  </si>
  <si>
    <t>1nF</t>
  </si>
  <si>
    <t>P13</t>
  </si>
  <si>
    <t>Pin_Headers:Pin_Header_Straight_2x01</t>
  </si>
  <si>
    <t>Burn</t>
  </si>
  <si>
    <t>SW2</t>
  </si>
  <si>
    <t>Buttons_Switches_SMD:SW_SPST_B3U-3000P</t>
  </si>
  <si>
    <t>U11</t>
  </si>
  <si>
    <t>LTC4412ES6#TRMPBF</t>
  </si>
  <si>
    <t>TO_SOT_Packages_SMD:SOT-23-6</t>
  </si>
  <si>
    <t>LTC4412</t>
  </si>
  <si>
    <t>Testing pass</t>
  </si>
  <si>
    <t>C31,C37,C51</t>
  </si>
  <si>
    <t>C3216X5R1E476M160AC</t>
  </si>
  <si>
    <t>TDK</t>
  </si>
  <si>
    <t>Capacitors_SMD:C_1206</t>
  </si>
  <si>
    <t>47uF</t>
  </si>
  <si>
    <t>C46</t>
  </si>
  <si>
    <t>F920J226MPA</t>
  </si>
  <si>
    <t>Capacitors_Tantalum_SMD:CP_Tantalum_Case-R_EIA-2012-12_Reflow</t>
  </si>
  <si>
    <t>22uF</t>
  </si>
  <si>
    <t>P7</t>
  </si>
  <si>
    <t>Pin_Headers:Pin_Header_Straight_1x09_Pitch2.54mm</t>
  </si>
  <si>
    <t>CONN_01X09</t>
  </si>
  <si>
    <t>R48,R49</t>
  </si>
  <si>
    <t>RC0805JR-07150RL</t>
  </si>
  <si>
    <t>150R</t>
  </si>
  <si>
    <t>R31</t>
  </si>
  <si>
    <t>RC0805JR-07330RL</t>
  </si>
  <si>
    <t>330</t>
  </si>
  <si>
    <t>R5</t>
  </si>
  <si>
    <t>RC0805JR-0715KL</t>
  </si>
  <si>
    <t>15K</t>
  </si>
  <si>
    <t>R29</t>
  </si>
  <si>
    <t>MCWR08X2701FTL</t>
  </si>
  <si>
    <t>MULTICOMP</t>
  </si>
  <si>
    <t>2.7K</t>
  </si>
  <si>
    <t>P1-P6</t>
  </si>
  <si>
    <t>614004184726</t>
  </si>
  <si>
    <t>Wurth Electronics</t>
  </si>
  <si>
    <t>USB_A_Vertical:USB_A_Vertical</t>
  </si>
  <si>
    <t>USB_A</t>
  </si>
  <si>
    <t>P11,P12</t>
  </si>
  <si>
    <t>Socket_Strips:Socket_Strip_Straight_2x04</t>
  </si>
  <si>
    <t>CONN_02X04</t>
  </si>
  <si>
    <t>R34</t>
  </si>
  <si>
    <t>ERJ-6ENF2373V</t>
  </si>
  <si>
    <t>237K</t>
  </si>
  <si>
    <t>C26,C52</t>
  </si>
  <si>
    <t>CL21C180JBANNNC</t>
  </si>
  <si>
    <t>18pF</t>
  </si>
  <si>
    <t>U13</t>
  </si>
  <si>
    <t>LM3150MH/NOPB</t>
  </si>
  <si>
    <t>Housings_SSOP:SSOP-14_5.3x6.2mm_Pitch0.65mm</t>
  </si>
  <si>
    <t>LM3150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</si>
  <si>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</si>
  <si>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</si>
  <si>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</si>
  <si>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</si>
  <si>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</si>
  <si>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</si>
  <si>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</si>
  <si>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</si>
  <si>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</si>
  <si>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478-1383-1-ND</t>
  </si>
  <si>
    <t>160-1968-ND</t>
  </si>
  <si>
    <t>609-4616-1-ND</t>
  </si>
  <si>
    <t>CP-082BHCT-ND</t>
  </si>
  <si>
    <t>IRLML6401GTRPBFCT-ND</t>
  </si>
  <si>
    <t>587-1282-1-ND</t>
  </si>
  <si>
    <t>478-3755-1-ND</t>
  </si>
  <si>
    <t>296-37962-1-ND</t>
  </si>
  <si>
    <t>311-22ARCT-ND</t>
  </si>
  <si>
    <t>311-470KARCT-ND</t>
  </si>
  <si>
    <t>LM4040DIM3-4.1/NOPBCT-ND</t>
  </si>
  <si>
    <t>541-464CCT-ND</t>
  </si>
  <si>
    <t>P16611CT-ND</t>
  </si>
  <si>
    <t>LT6106IS5#TRMPBFCT-ND</t>
  </si>
  <si>
    <t>P73.2KCCT-ND</t>
  </si>
  <si>
    <t>311-100KARCT-ND</t>
  </si>
  <si>
    <t>311-10KARCT-ND</t>
  </si>
  <si>
    <t>587-1283-1-ND</t>
  </si>
  <si>
    <t>EMK212ABJ106KG-T-ND</t>
  </si>
  <si>
    <t>CD1206-S01575CT-ND</t>
  </si>
  <si>
    <t>887-1053-1-ND</t>
  </si>
  <si>
    <t>P10.0KCCT-ND</t>
  </si>
  <si>
    <t>296-27140-5-ND</t>
  </si>
  <si>
    <t>LBQ39E-L2OO-35-1-ND</t>
  </si>
  <si>
    <t>ATMEGA32U4-AU-ND</t>
  </si>
  <si>
    <t>1276-1797-1-ND</t>
  </si>
  <si>
    <t>296-24517-1-ND</t>
  </si>
  <si>
    <t>1276-1275-1-ND</t>
  </si>
  <si>
    <t>MF-MSMF050-2CT-ND</t>
  </si>
  <si>
    <t>732-1592-1-ND</t>
  </si>
  <si>
    <t>311-1088-1-ND</t>
  </si>
  <si>
    <t>CC0603JRNPO8BN220-ND</t>
  </si>
  <si>
    <t>CG0603MLC-05ECT-ND</t>
  </si>
  <si>
    <t>SM5817PL-TPMSCT-ND</t>
  </si>
  <si>
    <t>311-1143-1-ND</t>
  </si>
  <si>
    <t>311-100ARCT-ND</t>
  </si>
  <si>
    <t>IRFR5305PBFCT-ND</t>
  </si>
  <si>
    <t>311-470ARCT-ND</t>
  </si>
  <si>
    <t>24LC02BT-I/SNCT-ND</t>
  </si>
  <si>
    <t>MH2029-300YCT-ND</t>
  </si>
  <si>
    <t>754-1580-1-ND</t>
  </si>
  <si>
    <t>732-1469-1-ND</t>
  </si>
  <si>
    <t>490-1060-1-ND</t>
  </si>
  <si>
    <t>P0.02BVCT-ND</t>
  </si>
  <si>
    <t>399-1147-1-ND</t>
  </si>
  <si>
    <t>LTC4412ES6#TRMPBFCT-ND</t>
  </si>
  <si>
    <t>445-8047-1-ND</t>
  </si>
  <si>
    <t>478-8119-1-ND</t>
  </si>
  <si>
    <t>311-150ARCT-ND</t>
  </si>
  <si>
    <t>311-330ARCT-ND</t>
  </si>
  <si>
    <t>311-15KARCT-ND</t>
  </si>
  <si>
    <t>732-10010-ND</t>
  </si>
  <si>
    <t>P237KCCT-ND</t>
  </si>
  <si>
    <t>1276-1107-1-ND</t>
  </si>
  <si>
    <t>LM3150MH/NOPB-ND</t>
  </si>
  <si>
    <t>Farnell</t>
  </si>
  <si>
    <t>499225</t>
  </si>
  <si>
    <t>2751675</t>
  </si>
  <si>
    <t>2371391</t>
  </si>
  <si>
    <t>1740665</t>
  </si>
  <si>
    <t>2447869</t>
  </si>
  <si>
    <t>1581113</t>
  </si>
  <si>
    <t>9233806</t>
  </si>
  <si>
    <t>9234330</t>
  </si>
  <si>
    <t>1468816</t>
  </si>
  <si>
    <t>1653004</t>
  </si>
  <si>
    <t>2354770</t>
  </si>
  <si>
    <t>2303742</t>
  </si>
  <si>
    <t>9234250</t>
  </si>
  <si>
    <t>9234136</t>
  </si>
  <si>
    <t>2371387</t>
  </si>
  <si>
    <t>2211947</t>
  </si>
  <si>
    <t>1842280</t>
  </si>
  <si>
    <t>2303654</t>
  </si>
  <si>
    <t>2296031</t>
  </si>
  <si>
    <t>1748525</t>
  </si>
  <si>
    <t>1778303</t>
  </si>
  <si>
    <t>9350314</t>
  </si>
  <si>
    <t>1635705</t>
  </si>
  <si>
    <t>1838966</t>
  </si>
  <si>
    <t>2289017</t>
  </si>
  <si>
    <t>718658</t>
  </si>
  <si>
    <t>1308876</t>
  </si>
  <si>
    <t>9233881</t>
  </si>
  <si>
    <t>2101421</t>
  </si>
  <si>
    <t>9233962</t>
  </si>
  <si>
    <t>2763400</t>
  </si>
  <si>
    <t>1635729</t>
  </si>
  <si>
    <t>3229580</t>
  </si>
  <si>
    <t>1636474</t>
  </si>
  <si>
    <t>2145291</t>
  </si>
  <si>
    <t>1414660</t>
  </si>
  <si>
    <t>1663917</t>
  </si>
  <si>
    <t>2525172</t>
  </si>
  <si>
    <t>9233903</t>
  </si>
  <si>
    <t>9233946</t>
  </si>
  <si>
    <t>9234152</t>
  </si>
  <si>
    <t>2447627</t>
  </si>
  <si>
    <t>2617113</t>
  </si>
  <si>
    <t>2303801</t>
  </si>
  <si>
    <t>2323532</t>
  </si>
  <si>
    <t>Mouser</t>
  </si>
  <si>
    <t>581-08055C103K</t>
  </si>
  <si>
    <t>859-LTL-4291N</t>
  </si>
  <si>
    <t>649-10118193-0001LF</t>
  </si>
  <si>
    <t>490-PJ-082BH</t>
  </si>
  <si>
    <t>942-IRLML6401GTRPBF</t>
  </si>
  <si>
    <t>963-EMK212B7474KD-T</t>
  </si>
  <si>
    <t>581-08053C104K</t>
  </si>
  <si>
    <t>595-CSD18509Q5B</t>
  </si>
  <si>
    <t>603-RC0805JR-0722RL</t>
  </si>
  <si>
    <t>603-RC0805JR-07470KL</t>
  </si>
  <si>
    <t>926-LM4040DIM341NOPB</t>
  </si>
  <si>
    <t>71-CRCW0805-464-E3</t>
  </si>
  <si>
    <t>667-6SVPC330M</t>
  </si>
  <si>
    <t>Not Assigned</t>
  </si>
  <si>
    <t>667-ERJ-6ENF7322V</t>
  </si>
  <si>
    <t>603-RC0805JR-07100KL</t>
  </si>
  <si>
    <t>603-RC0805JR-0710KL</t>
  </si>
  <si>
    <t>963-EMK212B7105KG-T</t>
  </si>
  <si>
    <t>963-EMK212ABJ106KG-T</t>
  </si>
  <si>
    <t>652-CD1206-S01575</t>
  </si>
  <si>
    <t>449-LFXTAL058709CUTT</t>
  </si>
  <si>
    <t>717-9C-12.000MAAJ-T</t>
  </si>
  <si>
    <t>667-ERJ-6ENF1002V</t>
  </si>
  <si>
    <t>595-UA78M33CDCY</t>
  </si>
  <si>
    <t>720-LBQ39EL2N2351</t>
  </si>
  <si>
    <t>652-MF-MSMF050-2</t>
  </si>
  <si>
    <t>710-742792641</t>
  </si>
  <si>
    <t>603-C0603KPX7R7BB104</t>
  </si>
  <si>
    <t>603-CC603JRNPO8BN220</t>
  </si>
  <si>
    <t>652-CG0603MLC-05E</t>
  </si>
  <si>
    <t>833-SM5817PL-TP</t>
  </si>
  <si>
    <t>994-XAL1010-472MEB</t>
  </si>
  <si>
    <t>603-CC805KRX7R9BB153</t>
  </si>
  <si>
    <t>651-3241103</t>
  </si>
  <si>
    <t>603-RC0805JR-07100RL</t>
  </si>
  <si>
    <t>603-RC0805JR-07470RL</t>
  </si>
  <si>
    <t>530-C1S3.5</t>
  </si>
  <si>
    <t>652-MH2029-300Y</t>
  </si>
  <si>
    <t>604-APA3010CGCK-GX</t>
  </si>
  <si>
    <t>710-744232090</t>
  </si>
  <si>
    <t>81-BLM41PG471SN1L</t>
  </si>
  <si>
    <t>667-ERJ-8CWFR020V</t>
  </si>
  <si>
    <t>810-C3216X5R1E476M</t>
  </si>
  <si>
    <t>647-F920J226MPA</t>
  </si>
  <si>
    <t>603-RC0805JR-07150RL</t>
  </si>
  <si>
    <t>603-RC0805JR-0715KL</t>
  </si>
  <si>
    <t>710-614004184726</t>
  </si>
  <si>
    <t>667-ERJ-6ENF2373V</t>
  </si>
  <si>
    <t>Newark</t>
  </si>
  <si>
    <t>19C6332</t>
  </si>
  <si>
    <t>67T2259</t>
  </si>
  <si>
    <t>77M8438</t>
  </si>
  <si>
    <t>96M1381</t>
  </si>
  <si>
    <t>94X0491</t>
  </si>
  <si>
    <t>14N9378</t>
  </si>
  <si>
    <t>68R0268</t>
  </si>
  <si>
    <t>26M6828</t>
  </si>
  <si>
    <t>26K2435</t>
  </si>
  <si>
    <t>53K0276</t>
  </si>
  <si>
    <t>89Y2716</t>
  </si>
  <si>
    <t>84Y2567</t>
  </si>
  <si>
    <t>53W4905</t>
  </si>
  <si>
    <t>12AC2208</t>
  </si>
  <si>
    <t>68R0258</t>
  </si>
  <si>
    <t>77M8436</t>
  </si>
  <si>
    <t>36X2055</t>
  </si>
  <si>
    <t>09J8040</t>
  </si>
  <si>
    <t>84R5843</t>
  </si>
  <si>
    <t>90W3242</t>
  </si>
  <si>
    <t>03P0895</t>
  </si>
  <si>
    <t>68T2838</t>
  </si>
  <si>
    <t>34T4848</t>
  </si>
  <si>
    <t>02J2718</t>
  </si>
  <si>
    <t>08P2436</t>
  </si>
  <si>
    <t>65R8150</t>
  </si>
  <si>
    <t>94W2864</t>
  </si>
  <si>
    <t>97M3815</t>
  </si>
  <si>
    <t>69R6425</t>
  </si>
  <si>
    <t>46WX109</t>
  </si>
  <si>
    <t>31M6500</t>
  </si>
  <si>
    <t>68R0261</t>
  </si>
  <si>
    <t>68R0276</t>
  </si>
  <si>
    <t>18AC8068</t>
  </si>
  <si>
    <t>02J2762</t>
  </si>
  <si>
    <t>08P2547</t>
  </si>
  <si>
    <t>63W1419</t>
  </si>
  <si>
    <t>64K2881</t>
  </si>
  <si>
    <t>56M9516</t>
  </si>
  <si>
    <t>65T7805</t>
  </si>
  <si>
    <t>54K5145</t>
  </si>
  <si>
    <t>68R0262</t>
  </si>
  <si>
    <t>68R0272</t>
  </si>
  <si>
    <t>26M6821</t>
  </si>
  <si>
    <t>94X1945</t>
  </si>
  <si>
    <t>96Y9883</t>
  </si>
  <si>
    <t>90W3378</t>
  </si>
  <si>
    <t>96W2973</t>
  </si>
  <si>
    <t>Rs Components</t>
  </si>
  <si>
    <t>464-6672</t>
  </si>
  <si>
    <t>863-2989</t>
  </si>
  <si>
    <t>907-5163</t>
  </si>
  <si>
    <t>390-990</t>
  </si>
  <si>
    <t>914-2936</t>
  </si>
  <si>
    <t>618-3987</t>
  </si>
  <si>
    <t>535-9644</t>
  </si>
  <si>
    <t>679-1412</t>
  </si>
  <si>
    <t>795-5459</t>
  </si>
  <si>
    <t>812-7276</t>
  </si>
  <si>
    <t>618-5163</t>
  </si>
  <si>
    <t>773-4514</t>
  </si>
  <si>
    <t>732-6031</t>
  </si>
  <si>
    <t>661-6733</t>
  </si>
  <si>
    <t>914-8640</t>
  </si>
  <si>
    <t>715-3805</t>
  </si>
  <si>
    <t>766-5566</t>
  </si>
  <si>
    <t>827-4684</t>
  </si>
  <si>
    <t>766-5682</t>
  </si>
  <si>
    <t>647-8156</t>
  </si>
  <si>
    <t>124-1834</t>
  </si>
  <si>
    <t>669-8763</t>
  </si>
  <si>
    <t>616-9133</t>
  </si>
  <si>
    <t>851-8256</t>
  </si>
  <si>
    <t>618-5135</t>
  </si>
  <si>
    <t>618-2546</t>
  </si>
  <si>
    <t>823-0795</t>
  </si>
  <si>
    <t>500-3032</t>
  </si>
  <si>
    <t>724-1602</t>
  </si>
  <si>
    <t>106-7117</t>
  </si>
  <si>
    <t>264-4337</t>
  </si>
  <si>
    <t>471-415</t>
  </si>
  <si>
    <t>788-3060</t>
  </si>
  <si>
    <t>136-2649</t>
  </si>
  <si>
    <t>618-3432</t>
  </si>
  <si>
    <t>618-3195</t>
  </si>
  <si>
    <t>814-4710</t>
  </si>
  <si>
    <t>766-5809</t>
  </si>
  <si>
    <t>660-6128</t>
  </si>
  <si>
    <t>LCD</t>
  </si>
  <si>
    <t>LCD+PCB+Case</t>
  </si>
  <si>
    <t>Unit sell price</t>
  </si>
  <si>
    <t>Profit per unit</t>
  </si>
  <si>
    <t>Full profit per Qty</t>
  </si>
  <si>
    <t>Qty sold by</t>
  </si>
  <si>
    <t>Crowtfunding loan</t>
  </si>
  <si>
    <t>Crowtfunding price</t>
  </si>
  <si>
    <t>My profit</t>
  </si>
  <si>
    <t>Buydisplay.com</t>
  </si>
  <si>
    <t>Case</t>
  </si>
  <si>
    <t>ARROW</t>
  </si>
  <si>
    <t>out</t>
  </si>
  <si>
    <t>QS8J13TR</t>
  </si>
  <si>
    <t>PCBWay</t>
  </si>
  <si>
    <t>PCB+Assembly</t>
  </si>
  <si>
    <t>PCBWay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</si>
</sst>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_-[$$-409]* #,##0.00_ ;_-[$$-409]* \-#,##0.00\ ;_-[$$-409]* &quot;-&quot;??_ ;_-@_ "/>
    <numFmt numFmtId="166" formatCode="\$#,##0.0000"/>
  </numFmts>
  <fonts count="10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top" wrapText="1"/>
    </xf>
    <xf numFmtId="166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164" fontId="3" fillId="8" borderId="0" xfId="0" applyNumberFormat="1" applyFont="1" applyFill="1"/>
    <xf numFmtId="165" fontId="3" fillId="0" borderId="0" xfId="0" applyNumberFormat="1" applyFont="1"/>
    <xf numFmtId="9" fontId="3" fillId="0" borderId="0" xfId="0" applyNumberFormat="1" applyFont="1"/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62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key.com/product-detail/en/samsung-electro-mechanics-america-inc/CL21B105KPFNNNE/1276-1275-1-ND/3889361" TargetMode="External"/><Relationship Id="rId21" Type="http://schemas.openxmlformats.org/officeDocument/2006/relationships/hyperlink" Target="http://www.newark.com/taiyo-yuden/emk212b7474kd-t/ceramic-capacitor-0-47uf-16v-x7r/dp/77M8438" TargetMode="External"/><Relationship Id="rId42" Type="http://schemas.openxmlformats.org/officeDocument/2006/relationships/hyperlink" Target="http://www.newark.com/webapp/wcs/stores/servlet/Search?catalogId=15003&amp;langId=-1&amp;storeId=10194&amp;gs=true&amp;st=RC0805JR-07470KL%20Yageo" TargetMode="External"/><Relationship Id="rId63" Type="http://schemas.openxmlformats.org/officeDocument/2006/relationships/hyperlink" Target="http://www.digikey.com/product-detail/en/panasonic-electronic-components/ERJ-6ENF7322V/P73.2KCCT-ND/119511" TargetMode="External"/><Relationship Id="rId84" Type="http://schemas.openxmlformats.org/officeDocument/2006/relationships/hyperlink" Target="http://www.digikey.com/product-detail/en/bourns-inc/CD1206-S01575/CD1206-S01575CT-ND/3741949" TargetMode="External"/><Relationship Id="rId138" Type="http://schemas.openxmlformats.org/officeDocument/2006/relationships/hyperlink" Target="http://it.farnell.com/bourns/cg0603mlc-05e/varistore-supp-protez-esd-20v/dp/1838966" TargetMode="External"/><Relationship Id="rId159" Type="http://schemas.openxmlformats.org/officeDocument/2006/relationships/hyperlink" Target="http://www.digikey.com/product-detail/en/infineon-technologies/IRFR5305TRPBF/IRFR5305PBFCT-ND/812554" TargetMode="External"/><Relationship Id="rId170" Type="http://schemas.openxmlformats.org/officeDocument/2006/relationships/hyperlink" Target="http://www.mouser.com/ProductDetail/Bel-Fuse/C1S-35/?qs=sGAEpiMZZMsF1ODjcwEocLyi8TSvDH%252bA5KnyPkxmH6M%3d" TargetMode="External"/><Relationship Id="rId191" Type="http://schemas.openxmlformats.org/officeDocument/2006/relationships/hyperlink" Target="http://www.digikey.com/product-detail/en/kemet/C0805C102K5RACTU/399-1147-1-ND/411422" TargetMode="External"/><Relationship Id="rId205" Type="http://schemas.openxmlformats.org/officeDocument/2006/relationships/hyperlink" Target="http://www.mouser.com/ProductDetail/AVX/F920J226MPA/?qs=sGAEpiMZZMuEN2agSAc2puC4lhRhLeol0maKbKPpiSU%3d" TargetMode="External"/><Relationship Id="rId226" Type="http://schemas.openxmlformats.org/officeDocument/2006/relationships/hyperlink" Target="http://www.newark.com/webapp/wcs/stores/servlet/Search?catalogId=15003&amp;langId=-1&amp;storeId=10194&amp;gs=true&amp;st=614004184726%20" TargetMode="External"/><Relationship Id="rId107" Type="http://schemas.openxmlformats.org/officeDocument/2006/relationships/hyperlink" Target="http://www.digikey.com/product-detail/en/microchip-technology/ATMEGA32U4-AU/ATMEGA32U4-AU-ND/1914602" TargetMode="External"/><Relationship Id="rId11" Type="http://schemas.openxmlformats.org/officeDocument/2006/relationships/hyperlink" Target="http://www.newark.com/webapp/wcs/stores/servlet/Search?catalogId=15003&amp;langId=-1&amp;storeId=10194&amp;gs=true&amp;st=10118193-0001LF%20" TargetMode="External"/><Relationship Id="rId32" Type="http://schemas.openxmlformats.org/officeDocument/2006/relationships/hyperlink" Target="http://it.farnell.com/webapp/wcs/stores/servlet/Search?catalogId=15001&amp;langId=-4&amp;storeId=10165&amp;gs=true&amp;st=MCL034MD%20" TargetMode="External"/><Relationship Id="rId53" Type="http://schemas.openxmlformats.org/officeDocument/2006/relationships/hyperlink" Target="http://www.digikey.com/product-detail/en/panasonic-electronic-components/6SVPC330M/P16611CT-ND/4204447" TargetMode="External"/><Relationship Id="rId74" Type="http://schemas.openxmlformats.org/officeDocument/2006/relationships/hyperlink" Target="http://www.mouser.com/Search/Refine.aspx?Keyword=RC0805JR-0710KL%20Yageo" TargetMode="External"/><Relationship Id="rId128" Type="http://schemas.openxmlformats.org/officeDocument/2006/relationships/hyperlink" Target="http://it.rs-online.com/web/c/?searchTerm=742792641%20" TargetMode="External"/><Relationship Id="rId149" Type="http://schemas.openxmlformats.org/officeDocument/2006/relationships/hyperlink" Target="http://www.mouser.com/Search/Refine.aspx?Keyword=CC0805KRX7R9BB153%20Yageo" TargetMode="External"/><Relationship Id="rId5" Type="http://schemas.openxmlformats.org/officeDocument/2006/relationships/hyperlink" Target="http://it.rs-online.com/web/c/?searchTerm=08055C103KAT2A%20" TargetMode="External"/><Relationship Id="rId95" Type="http://schemas.openxmlformats.org/officeDocument/2006/relationships/hyperlink" Target="http://it.farnell.com/panasonic-electronic-components/erj6enf1002v/res-film-spesso-10k-1-0-125w-0805/dp/2303654" TargetMode="External"/><Relationship Id="rId160" Type="http://schemas.openxmlformats.org/officeDocument/2006/relationships/hyperlink" Target="http://it.farnell.com/webapp/wcs/stores/servlet/Search?catalogId=15001&amp;langId=-4&amp;storeId=10165&amp;gs=true&amp;st=IRFR5305TRLPBF%20" TargetMode="External"/><Relationship Id="rId181" Type="http://schemas.openxmlformats.org/officeDocument/2006/relationships/hyperlink" Target="http://www.newark.com/webapp/wcs/stores/servlet/Search?catalogId=15003&amp;langId=-1&amp;storeId=10194&amp;gs=true&amp;st=744232090%20" TargetMode="External"/><Relationship Id="rId216" Type="http://schemas.openxmlformats.org/officeDocument/2006/relationships/hyperlink" Target="http://it.rs-online.com/web/c/?searchTerm=RC0805JR-07330RL%20" TargetMode="External"/><Relationship Id="rId237" Type="http://schemas.openxmlformats.org/officeDocument/2006/relationships/hyperlink" Target="http://it.rs-online.com/web/c/?searchTerm=LM3150MH%2FNOPB%20" TargetMode="External"/><Relationship Id="rId22" Type="http://schemas.openxmlformats.org/officeDocument/2006/relationships/hyperlink" Target="http://www.digikey.com/product-detail/en/avx-corporation/08053C104KAT2A/478-3755-1-ND/1116453" TargetMode="External"/><Relationship Id="rId43" Type="http://schemas.openxmlformats.org/officeDocument/2006/relationships/hyperlink" Target="http://www.digikey.com/product-detail/en/texas-instruments/LM4040DIM3-4.1-NOPB/LM4040DIM3-4.1-NOPBCT-ND/212713" TargetMode="External"/><Relationship Id="rId64" Type="http://schemas.openxmlformats.org/officeDocument/2006/relationships/hyperlink" Target="http://it.farnell.com/panasonic-electronic-components/erj6enf7322v/res-film-spesso-73k2-1-0-125w/dp/2303742" TargetMode="External"/><Relationship Id="rId118" Type="http://schemas.openxmlformats.org/officeDocument/2006/relationships/hyperlink" Target="http://it.rs-online.com/web/c/?searchTerm=CL21B105KPFNNNE%20" TargetMode="External"/><Relationship Id="rId139" Type="http://schemas.openxmlformats.org/officeDocument/2006/relationships/hyperlink" Target="http://www.mouser.com/Search/Refine.aspx?Keyword=CG0603MLC-05E%20" TargetMode="External"/><Relationship Id="rId85" Type="http://schemas.openxmlformats.org/officeDocument/2006/relationships/hyperlink" Target="http://it.farnell.com/bourns/cd1206-s01575/diodo-commutaz-100v-150ma-1206/dp/2211947" TargetMode="External"/><Relationship Id="rId150" Type="http://schemas.openxmlformats.org/officeDocument/2006/relationships/hyperlink" Target="http://www.newark.com/yageo-phycomp/cc0805krx7r9bb153/multilayer-ceramic-capacitor-cc/dp/46WX109" TargetMode="External"/><Relationship Id="rId171" Type="http://schemas.openxmlformats.org/officeDocument/2006/relationships/hyperlink" Target="http://www.digikey.com/product-detail/en/bourns-inc/MH2029-300Y/MH2029-300YCT-ND/3741761" TargetMode="External"/><Relationship Id="rId192" Type="http://schemas.openxmlformats.org/officeDocument/2006/relationships/hyperlink" Target="http://it.farnell.com/kemet/c0805c102k5ractu/condensatore-mlcc-x7r-1nf-50v/dp/1414660" TargetMode="External"/><Relationship Id="rId206" Type="http://schemas.openxmlformats.org/officeDocument/2006/relationships/hyperlink" Target="http://www.newark.com/webapp/wcs/stores/servlet/Search?catalogId=15003&amp;langId=-1&amp;storeId=10194&amp;gs=true&amp;st=F920J226MPA%20" TargetMode="External"/><Relationship Id="rId227" Type="http://schemas.openxmlformats.org/officeDocument/2006/relationships/hyperlink" Target="http://www.digikey.com/product-detail/en/panasonic-electronic-components/ERJ-6ENF2373V/P237KCCT-ND/119658" TargetMode="External"/><Relationship Id="rId12" Type="http://schemas.openxmlformats.org/officeDocument/2006/relationships/hyperlink" Target="http://it.rs-online.com/web/c/?searchTerm=10118193-0001LF%20" TargetMode="External"/><Relationship Id="rId33" Type="http://schemas.openxmlformats.org/officeDocument/2006/relationships/hyperlink" Target="http://www.newark.com/webapp/wcs/stores/servlet/Search?catalogId=15003&amp;langId=-1&amp;storeId=10194&amp;gs=true&amp;st=MCL034MD%20" TargetMode="External"/><Relationship Id="rId108" Type="http://schemas.openxmlformats.org/officeDocument/2006/relationships/hyperlink" Target="http://it.farnell.com/atmel/atmega32u4-au/mcu-8bit-megaavr-16mhz-tqfp-44/dp/1748525" TargetMode="External"/><Relationship Id="rId129" Type="http://schemas.openxmlformats.org/officeDocument/2006/relationships/hyperlink" Target="http://www.digikey.com/product-detail/en/yageo/CC0603KRX7R7BB104/311-1088-1-ND/302998" TargetMode="External"/><Relationship Id="rId54" Type="http://schemas.openxmlformats.org/officeDocument/2006/relationships/hyperlink" Target="http://it.farnell.com/panasonic-electronic-components/6svpc330m/condens-elett-allum-330uf-6-3v/dp/2354770" TargetMode="External"/><Relationship Id="rId75" Type="http://schemas.openxmlformats.org/officeDocument/2006/relationships/hyperlink" Target="http://www.newark.com/yageo/rc0805jr-0710kl/res-thick-film-10k-5-0-125w-0805/dp/68R0258" TargetMode="External"/><Relationship Id="rId96" Type="http://schemas.openxmlformats.org/officeDocument/2006/relationships/hyperlink" Target="http://www.mouser.com/Search/Refine.aspx?Keyword=ERJ-6ENF1002V%20" TargetMode="External"/><Relationship Id="rId140" Type="http://schemas.openxmlformats.org/officeDocument/2006/relationships/hyperlink" Target="http://www.newark.com/bourns/cg0603mlc-05e/varistor-5v-20v-0603/dp/97M3815" TargetMode="External"/><Relationship Id="rId161" Type="http://schemas.openxmlformats.org/officeDocument/2006/relationships/hyperlink" Target="http://www.digikey.com/product-detail/en/yageo/RC0805JR-07470RL/311-470ARCT-ND/731280" TargetMode="External"/><Relationship Id="rId182" Type="http://schemas.openxmlformats.org/officeDocument/2006/relationships/hyperlink" Target="http://it.rs-online.com/web/p/induttori-avvolti-smd/5003032/" TargetMode="External"/><Relationship Id="rId217" Type="http://schemas.openxmlformats.org/officeDocument/2006/relationships/hyperlink" Target="http://www.digikey.com/product-detail/en/yageo/RC0805JR-0715KL/311-15KARCT-ND/731205" TargetMode="External"/><Relationship Id="rId6" Type="http://schemas.openxmlformats.org/officeDocument/2006/relationships/hyperlink" Target="http://www.digikey.com/scripts/DkSearch/dksus.dll?WT.z_header=search_go&amp;lang=en&amp;keywords=LTL-4291N%20" TargetMode="External"/><Relationship Id="rId238" Type="http://schemas.openxmlformats.org/officeDocument/2006/relationships/hyperlink" Target="https://www.arrow.com/en/products/08055c103kat2a/avx" TargetMode="External"/><Relationship Id="rId23" Type="http://schemas.openxmlformats.org/officeDocument/2006/relationships/hyperlink" Target="http://it.farnell.com/avx/08053c104kat2a/condensatore-mlcc-x7r-100nf-25v/dp/1740665" TargetMode="External"/><Relationship Id="rId119" Type="http://schemas.openxmlformats.org/officeDocument/2006/relationships/hyperlink" Target="http://www.digikey.com/product-detail/en/bourns-inc/MF-MSMF050-2/MF-MSMF050-2CT-ND/662842" TargetMode="External"/><Relationship Id="rId44" Type="http://schemas.openxmlformats.org/officeDocument/2006/relationships/hyperlink" Target="http://it.farnell.com/texas-instruments/lm4040dim3-4-1-nopb/rif-tensione-shunt-4-096v-sot/dp/1468816" TargetMode="External"/><Relationship Id="rId65" Type="http://schemas.openxmlformats.org/officeDocument/2006/relationships/hyperlink" Target="http://www.mouser.com/Search/Refine.aspx?Keyword=ERJ-6ENF7322V%20" TargetMode="External"/><Relationship Id="rId86" Type="http://schemas.openxmlformats.org/officeDocument/2006/relationships/hyperlink" Target="http://www.mouser.com/Search/Refine.aspx?Keyword=CD1206-S01575%20" TargetMode="External"/><Relationship Id="rId130" Type="http://schemas.openxmlformats.org/officeDocument/2006/relationships/hyperlink" Target="http://www.mouser.com/Search/Refine.aspx?Keyword=CC0603KPX7R7BB104%20Yageo" TargetMode="External"/><Relationship Id="rId151" Type="http://schemas.openxmlformats.org/officeDocument/2006/relationships/hyperlink" Target="http://it.farnell.com/webapp/wcs/stores/servlet/Search?catalogId=15001&amp;langId=-4&amp;storeId=10165&amp;gs=true&amp;st=2411%2003%20" TargetMode="External"/><Relationship Id="rId172" Type="http://schemas.openxmlformats.org/officeDocument/2006/relationships/hyperlink" Target="http://it.farnell.com/wurth-elektronik/74279206/ferrite-bead-0-025ohm-3a-0805/dp/1635729?rpsku=rel3%3AMH2029300Y" TargetMode="External"/><Relationship Id="rId193" Type="http://schemas.openxmlformats.org/officeDocument/2006/relationships/hyperlink" Target="http://www.newark.com/kemet/c0805c102k5ractu/ceramic-capacitor-1000pf-50v-x7r/dp/64K2881" TargetMode="External"/><Relationship Id="rId207" Type="http://schemas.openxmlformats.org/officeDocument/2006/relationships/hyperlink" Target="http://it.rs-online.com/web/p/condensatori-al-tantalio/1362649/" TargetMode="External"/><Relationship Id="rId228" Type="http://schemas.openxmlformats.org/officeDocument/2006/relationships/hyperlink" Target="http://it.farnell.com/panasonic-electronic-components/erj6enf2373v/res-film-spesso-237k-1-0-125w/dp/2303801" TargetMode="External"/><Relationship Id="rId13" Type="http://schemas.openxmlformats.org/officeDocument/2006/relationships/hyperlink" Target="http://www.digikey.com/product-detail/en/cui-inc/PJ-082BH/CP-082BHCT-ND/3102547" TargetMode="External"/><Relationship Id="rId109" Type="http://schemas.openxmlformats.org/officeDocument/2006/relationships/hyperlink" Target="http://www.newark.com/microchip/atmega32u4-au/microcontroller-mcu-8-bit-megaavr/dp/68T2838" TargetMode="External"/><Relationship Id="rId34" Type="http://schemas.openxmlformats.org/officeDocument/2006/relationships/hyperlink" Target="http://www.digikey.com/product-detail/en/yageo/RC0805JR-0722RL/311-22ARCT-ND/731232" TargetMode="External"/><Relationship Id="rId55" Type="http://schemas.openxmlformats.org/officeDocument/2006/relationships/hyperlink" Target="http://www.mouser.com/Search/Refine.aspx?Keyword=6SVPC330M%20" TargetMode="External"/><Relationship Id="rId76" Type="http://schemas.openxmlformats.org/officeDocument/2006/relationships/hyperlink" Target="http://it.rs-online.com/web/c/?searchTerm=RC0805JR-0710KL%20" TargetMode="External"/><Relationship Id="rId97" Type="http://schemas.openxmlformats.org/officeDocument/2006/relationships/hyperlink" Target="http://www.newark.com/panasonic-electronic-components/erj-6enf1002v/res-thick-film-10k-1-0-125w-0805/dp/90W3242" TargetMode="External"/><Relationship Id="rId120" Type="http://schemas.openxmlformats.org/officeDocument/2006/relationships/hyperlink" Target="http://it.farnell.com/bourns/msmf050-2/fuse-ptc-reset-15v-0-5a-smd/dp/9350314" TargetMode="External"/><Relationship Id="rId141" Type="http://schemas.openxmlformats.org/officeDocument/2006/relationships/hyperlink" Target="http://it.rs-online.com/web/c/?searchTerm=CG0603MLC-05E%20" TargetMode="External"/><Relationship Id="rId7" Type="http://schemas.openxmlformats.org/officeDocument/2006/relationships/hyperlink" Target="http://www.mouser.com/Search/Refine.aspx?Keyword=LTL-4291N%20" TargetMode="External"/><Relationship Id="rId162" Type="http://schemas.openxmlformats.org/officeDocument/2006/relationships/hyperlink" Target="http://it.farnell.com/yageo-phycomp/rc0805jr-07470rl/res-film-spesso-470r-5-0-125w/dp/9233962" TargetMode="External"/><Relationship Id="rId183" Type="http://schemas.openxmlformats.org/officeDocument/2006/relationships/hyperlink" Target="http://www.digikey.com/product-detail/en/murata-electronics-north-america/BLM41PG471SN1L/490-1060-1-ND/584506" TargetMode="External"/><Relationship Id="rId218" Type="http://schemas.openxmlformats.org/officeDocument/2006/relationships/hyperlink" Target="http://it.farnell.com/yageo-phycomp/rc0805jr-0715kl/res-film-spesso-15k-5-0-125w-0805/dp/9234152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://www.mouser.com/Search/Refine.aspx?Keyword=08053C104KAT2A%20" TargetMode="External"/><Relationship Id="rId45" Type="http://schemas.openxmlformats.org/officeDocument/2006/relationships/hyperlink" Target="http://www.mouser.com/ProductDetail/Texas-Instruments/LM4040DIM3-41-NOPB/?qs=sGAEpiMZZMuBck1X%252b7j9fFxOFMTVQaIHvaL2EGqZYbY%3d" TargetMode="External"/><Relationship Id="rId66" Type="http://schemas.openxmlformats.org/officeDocument/2006/relationships/hyperlink" Target="http://www.newark.com/panasonic-electronic-components/erj-6enf7322v/res-thick-film-73k2-1-0-125w-0805/dp/53W4905" TargetMode="External"/><Relationship Id="rId87" Type="http://schemas.openxmlformats.org/officeDocument/2006/relationships/hyperlink" Target="http://www.newark.com/bourns/cd1206-s01575/diode-switching-100v-150ma-1206/dp/09J8040" TargetMode="External"/><Relationship Id="rId110" Type="http://schemas.openxmlformats.org/officeDocument/2006/relationships/hyperlink" Target="http://it.rs-online.com/web/p/microcontroller/7153805/" TargetMode="External"/><Relationship Id="rId131" Type="http://schemas.openxmlformats.org/officeDocument/2006/relationships/hyperlink" Target="http://www.newark.com/webapp/wcs/stores/servlet/Search?catalogId=15003&amp;langId=-1&amp;storeId=10194&amp;gs=true&amp;st=CC0603KPX7R7BB104%20Yageo" TargetMode="External"/><Relationship Id="rId152" Type="http://schemas.openxmlformats.org/officeDocument/2006/relationships/hyperlink" Target="http://www.mouser.com/ProductDetail/Phoenix-Contact/3241103/?qs=sGAEpiMZZMsKdvST4JBTTF%2fsuhVjvd5M" TargetMode="External"/><Relationship Id="rId173" Type="http://schemas.openxmlformats.org/officeDocument/2006/relationships/hyperlink" Target="http://www.mouser.com/Search/Refine.aspx?Keyword=MH2029-300Y%20" TargetMode="External"/><Relationship Id="rId194" Type="http://schemas.openxmlformats.org/officeDocument/2006/relationships/hyperlink" Target="http://it.rs-online.com/web/c/?searchTerm=C0805C102K5RACTU%20" TargetMode="External"/><Relationship Id="rId208" Type="http://schemas.openxmlformats.org/officeDocument/2006/relationships/hyperlink" Target="http://www.digikey.com/product-detail/en/yageo/RC0805JR-07150RL/311-150ARCT-ND/731202" TargetMode="External"/><Relationship Id="rId229" Type="http://schemas.openxmlformats.org/officeDocument/2006/relationships/hyperlink" Target="http://www.mouser.com/Search/Refine.aspx?Keyword=ERJ-6ENF2373V%20" TargetMode="External"/><Relationship Id="rId240" Type="http://schemas.openxmlformats.org/officeDocument/2006/relationships/vmlDrawing" Target="../drawings/vmlDrawing1.vml"/><Relationship Id="rId14" Type="http://schemas.openxmlformats.org/officeDocument/2006/relationships/hyperlink" Target="http://www.mouser.com/Search/Refine.aspx?Keyword=PJ-082BH%20" TargetMode="External"/><Relationship Id="rId35" Type="http://schemas.openxmlformats.org/officeDocument/2006/relationships/hyperlink" Target="http://it.farnell.com/yageo-phycomp/rc0805jr-0722rl/res-film-spesso-22r-5-0-125w-0805/dp/9233806" TargetMode="External"/><Relationship Id="rId56" Type="http://schemas.openxmlformats.org/officeDocument/2006/relationships/hyperlink" Target="http://www.newark.com/webapp/wcs/stores/servlet/Search?catalogId=15003&amp;langId=-1&amp;storeId=10194&amp;gs=true&amp;st=6SVPC330M%20" TargetMode="External"/><Relationship Id="rId77" Type="http://schemas.openxmlformats.org/officeDocument/2006/relationships/hyperlink" Target="http://www.digikey.com/product-detail/en/taiyo-yuden/EMK212B7105KG-T/587-1283-1-ND/931060" TargetMode="External"/><Relationship Id="rId100" Type="http://schemas.openxmlformats.org/officeDocument/2006/relationships/hyperlink" Target="http://it.farnell.com/texas-instruments/ua78m33cdcy/v-reg-2vdo-0-5a-3-3v-4sot223/dp/2296031" TargetMode="External"/><Relationship Id="rId8" Type="http://schemas.openxmlformats.org/officeDocument/2006/relationships/hyperlink" Target="http://www.digikey.com/product-detail/en/amphenol-fci/10118193-0001LF/609-4616-1-ND/2785380" TargetMode="External"/><Relationship Id="rId98" Type="http://schemas.openxmlformats.org/officeDocument/2006/relationships/hyperlink" Target="http://it.rs-online.com/web/p/resistori-smd/7326031/" TargetMode="External"/><Relationship Id="rId121" Type="http://schemas.openxmlformats.org/officeDocument/2006/relationships/hyperlink" Target="http://www.mouser.com/Search/Refine.aspx?Keyword=MF-MSMF050-2%20" TargetMode="External"/><Relationship Id="rId142" Type="http://schemas.openxmlformats.org/officeDocument/2006/relationships/hyperlink" Target="http://www.digikey.com/product-detail/en/micro-commercial-co/SM5817PL-TP/SM5817PL-TPMSCT-ND/1793410" TargetMode="External"/><Relationship Id="rId163" Type="http://schemas.openxmlformats.org/officeDocument/2006/relationships/hyperlink" Target="http://www.mouser.com/Search/Refine.aspx?Keyword=RC0805JR-07470RL%20Yageo" TargetMode="External"/><Relationship Id="rId184" Type="http://schemas.openxmlformats.org/officeDocument/2006/relationships/hyperlink" Target="http://www.mouser.com/Search/Refine.aspx?Keyword=BLM41PG471SN1L%20" TargetMode="External"/><Relationship Id="rId219" Type="http://schemas.openxmlformats.org/officeDocument/2006/relationships/hyperlink" Target="http://www.mouser.com/ProductDetail/Yageo/RC0805JR-0715KL/?qs=sGAEpiMZZMu61qfTUdNhG0IfGdGRhTL5%252btw%252bpxCNOsE%3d" TargetMode="External"/><Relationship Id="rId230" Type="http://schemas.openxmlformats.org/officeDocument/2006/relationships/hyperlink" Target="http://www.newark.com/panasonic-electronic-components/erj-6enf2373v/res-thick-film-237k-1-0-125w-0805/dp/90W3378" TargetMode="External"/><Relationship Id="rId25" Type="http://schemas.openxmlformats.org/officeDocument/2006/relationships/hyperlink" Target="http://www.newark.com/avx/08053c104kat2a/ceramic-capacitor-0-1uf-25v-x7r/dp/96M1381" TargetMode="External"/><Relationship Id="rId46" Type="http://schemas.openxmlformats.org/officeDocument/2006/relationships/hyperlink" Target="http://www.newark.com/texas-instruments/lm4040dim3-4-1-nopb/voltage-ref-shunt-4-096v-sot-23/dp/26K2435" TargetMode="External"/><Relationship Id="rId67" Type="http://schemas.openxmlformats.org/officeDocument/2006/relationships/hyperlink" Target="http://it.rs-online.com/web/c/?searchTerm=ERJ-6ENF7322V%20" TargetMode="External"/><Relationship Id="rId88" Type="http://schemas.openxmlformats.org/officeDocument/2006/relationships/hyperlink" Target="http://it.rs-online.com/web/c/?searchTerm=CD1206-S01575%20" TargetMode="External"/><Relationship Id="rId111" Type="http://schemas.openxmlformats.org/officeDocument/2006/relationships/hyperlink" Target="http://www.digikey.com/product-detail/en/samsung-electro-mechanics-america-inc/CL21B334KOCNNNC/1276-1797-1-ND/3889883" TargetMode="External"/><Relationship Id="rId132" Type="http://schemas.openxmlformats.org/officeDocument/2006/relationships/hyperlink" Target="http://it.rs-online.com/web/c/?searchTerm=CC0603KPX7R7BB104%20" TargetMode="External"/><Relationship Id="rId153" Type="http://schemas.openxmlformats.org/officeDocument/2006/relationships/hyperlink" Target="http://www.newark.com/webapp/wcs/stores/servlet/Search?catalogId=15003&amp;langId=-1&amp;storeId=10194&amp;gs=true&amp;st=2411%2003%20" TargetMode="External"/><Relationship Id="rId174" Type="http://schemas.openxmlformats.org/officeDocument/2006/relationships/hyperlink" Target="http://www.newark.com/bourns/mh2029-300y/ferrite-bead-0805-0-025ohm-3a/dp/02J2762" TargetMode="External"/><Relationship Id="rId195" Type="http://schemas.openxmlformats.org/officeDocument/2006/relationships/hyperlink" Target="http://www.digikey.com/product-detail/en/linear-technology/LTC4412ES6-TRMPBF/LTC4412ES6-TRMPBFCT-ND/890097" TargetMode="External"/><Relationship Id="rId209" Type="http://schemas.openxmlformats.org/officeDocument/2006/relationships/hyperlink" Target="http://it.farnell.com/yageo-phycomp/rc0805jr-07150rl/res-film-spesso-150r-5-0-125w/dp/9233903" TargetMode="External"/><Relationship Id="rId220" Type="http://schemas.openxmlformats.org/officeDocument/2006/relationships/hyperlink" Target="http://www.newark.com/webapp/wcs/stores/servlet/Search?catalogId=15003&amp;langId=-1&amp;storeId=10194&amp;gs=true&amp;st=RC0805JR-0715KL%20Yageo" TargetMode="External"/><Relationship Id="rId241" Type="http://schemas.openxmlformats.org/officeDocument/2006/relationships/comments" Target="../comments1.xml"/><Relationship Id="rId15" Type="http://schemas.openxmlformats.org/officeDocument/2006/relationships/hyperlink" Target="http://www.digikey.com/product-detail/en/infineon-technologies/IRLML6401GTRPBF/IRLML6401GTRPBFCT-ND/2354251" TargetMode="External"/><Relationship Id="rId36" Type="http://schemas.openxmlformats.org/officeDocument/2006/relationships/hyperlink" Target="http://www.mouser.com/ProductDetail/Yageo/RC0805JR-0722RL/?qs=sGAEpiMZZMu61qfTUdNhG5eFuApKbqVd9BGJ%252bm1QYE8%3d" TargetMode="External"/><Relationship Id="rId57" Type="http://schemas.openxmlformats.org/officeDocument/2006/relationships/hyperlink" Target="http://it.rs-online.com/web/p/condensatori-elettrolitici/7955459/" TargetMode="External"/><Relationship Id="rId106" Type="http://schemas.openxmlformats.org/officeDocument/2006/relationships/hyperlink" Target="http://it.rs-online.com/web/c/?searchTerm=LB%20Q39E-L2OO-35-1%20" TargetMode="External"/><Relationship Id="rId127" Type="http://schemas.openxmlformats.org/officeDocument/2006/relationships/hyperlink" Target="http://www.newark.com/wurth-elektronik/742792641/ferrite-bead-0-15ohm-2a-0603/dp/08P2436" TargetMode="External"/><Relationship Id="rId10" Type="http://schemas.openxmlformats.org/officeDocument/2006/relationships/hyperlink" Target="http://www.mouser.com/Search/Refine.aspx?Keyword=10118193-0001LF%20" TargetMode="External"/><Relationship Id="rId31" Type="http://schemas.openxmlformats.org/officeDocument/2006/relationships/hyperlink" Target="http://it.rs-online.com/web/c/?searchTerm=CSD18509Q5B%20" TargetMode="External"/><Relationship Id="rId52" Type="http://schemas.openxmlformats.org/officeDocument/2006/relationships/hyperlink" Target="http://it.rs-online.com/web/p/resistori-smd/6791412P/" TargetMode="External"/><Relationship Id="rId73" Type="http://schemas.openxmlformats.org/officeDocument/2006/relationships/hyperlink" Target="http://it.farnell.com/yageo-phycomp/rc0805jr-0710kl/res-film-spesso-10k-5-0-125w-0805/dp/9234136" TargetMode="External"/><Relationship Id="rId78" Type="http://schemas.openxmlformats.org/officeDocument/2006/relationships/hyperlink" Target="http://it.farnell.com/webapp/wcs/stores/servlet/Search?catalogId=15001&amp;langId=-4&amp;storeId=10165&amp;gs=true&amp;st=EMK212B7105KG-T%20" TargetMode="External"/><Relationship Id="rId94" Type="http://schemas.openxmlformats.org/officeDocument/2006/relationships/hyperlink" Target="http://www.digikey.com/product-detail/en/panasonic-electronic-components/ERJ-6ENF1002V/P10.0KCCT-ND/119248" TargetMode="External"/><Relationship Id="rId99" Type="http://schemas.openxmlformats.org/officeDocument/2006/relationships/hyperlink" Target="http://www.digikey.com/product-detail/en/texas-instruments/UA78M33CDCY/296-27140-5-ND/1910312" TargetMode="External"/><Relationship Id="rId101" Type="http://schemas.openxmlformats.org/officeDocument/2006/relationships/hyperlink" Target="http://www.mouser.com/ProductDetail/Texas-Instruments/UA78M33CDCY/?qs=sGAEpiMZZMtUqDgmOWBjgHbKmseNGGTSkgouR6SXN0g%3d" TargetMode="External"/><Relationship Id="rId122" Type="http://schemas.openxmlformats.org/officeDocument/2006/relationships/hyperlink" Target="http://www.newark.com/bourns/msmf050-2/fuse-ptc-reset-15v-500ma-1812/dp/02J2718" TargetMode="External"/><Relationship Id="rId143" Type="http://schemas.openxmlformats.org/officeDocument/2006/relationships/hyperlink" Target="http://www.mouser.com/Search/Refine.aspx?Keyword=SM5817PL-TP%20" TargetMode="External"/><Relationship Id="rId148" Type="http://schemas.openxmlformats.org/officeDocument/2006/relationships/hyperlink" Target="http://it.farnell.com/yageo-phycomp/cc0805krx7r9bb153/condensatore-mlcc-x7r-15nf-50v/dp/718658" TargetMode="External"/><Relationship Id="rId164" Type="http://schemas.openxmlformats.org/officeDocument/2006/relationships/hyperlink" Target="http://www.newark.com/yageo/rc0805jr-07470rl/res-thick-film-470r-5-0-125w-0805/dp/68R0276" TargetMode="External"/><Relationship Id="rId169" Type="http://schemas.openxmlformats.org/officeDocument/2006/relationships/hyperlink" Target="http://it.rs-online.com/web/c/?searchTerm=24LC02BT-I%2FSN%20" TargetMode="External"/><Relationship Id="rId185" Type="http://schemas.openxmlformats.org/officeDocument/2006/relationships/hyperlink" Target="http://it.rs-online.com/web/c/?searchTerm=BLM41PG471SN1L%20" TargetMode="External"/><Relationship Id="rId4" Type="http://schemas.openxmlformats.org/officeDocument/2006/relationships/hyperlink" Target="http://www.newark.com/avx/08055c103kat2a/ceramic-capacitor-0-01uf-50v-x7r/dp/19C6332" TargetMode="External"/><Relationship Id="rId9" Type="http://schemas.openxmlformats.org/officeDocument/2006/relationships/hyperlink" Target="http://it.farnell.com/webapp/wcs/stores/servlet/Search?catalogId=15001&amp;langId=-4&amp;storeId=10165&amp;gs=true&amp;st=10118193-0001LF%20" TargetMode="External"/><Relationship Id="rId180" Type="http://schemas.openxmlformats.org/officeDocument/2006/relationships/hyperlink" Target="http://www.mouser.com/Search/Refine.aspx?Keyword=744232090%20" TargetMode="External"/><Relationship Id="rId210" Type="http://schemas.openxmlformats.org/officeDocument/2006/relationships/hyperlink" Target="http://www.mouser.com/ProductDetail/Yageo/RC0805JR-07150RL/?qs=sGAEpiMZZMu61qfTUdNhG5eFuApKbqVdPgkp9m8x55I%3d" TargetMode="External"/><Relationship Id="rId215" Type="http://schemas.openxmlformats.org/officeDocument/2006/relationships/hyperlink" Target="http://www.newark.com/yageo/rc0805jr-07330rl/res-thick-film-330r-5-0-125w-0805/dp/68R0272" TargetMode="External"/><Relationship Id="rId236" Type="http://schemas.openxmlformats.org/officeDocument/2006/relationships/hyperlink" Target="http://www.newark.com/webapp/wcs/stores/servlet/Search?catalogId=15003&amp;langId=-1&amp;storeId=10194&amp;gs=true&amp;st=LM3150MH%2FNOPB%20" TargetMode="External"/><Relationship Id="rId26" Type="http://schemas.openxmlformats.org/officeDocument/2006/relationships/hyperlink" Target="http://it.rs-online.com/web/c/?searchTerm=08053C104KAT2A%20" TargetMode="External"/><Relationship Id="rId231" Type="http://schemas.openxmlformats.org/officeDocument/2006/relationships/hyperlink" Target="http://it.rs-online.com/web/c/?searchTerm=ERJ-6ENF2373V%20" TargetMode="External"/><Relationship Id="rId47" Type="http://schemas.openxmlformats.org/officeDocument/2006/relationships/hyperlink" Target="http://it.rs-online.com/web/c/?searchTerm=LM4040DIM3-4.1%2FNOPB%20" TargetMode="External"/><Relationship Id="rId68" Type="http://schemas.openxmlformats.org/officeDocument/2006/relationships/hyperlink" Target="http://www.digikey.com/product-detail/en/yageo/RC0805JR-07100KL/311-100KARCT-ND/731186" TargetMode="External"/><Relationship Id="rId89" Type="http://schemas.openxmlformats.org/officeDocument/2006/relationships/hyperlink" Target="http://www.mouser.com/ProductDetail/IQD/LFXTAL058709Cutt/?qs=sGAEpiMZZMsBj6bBr9Q9ae9xM%2f%2fhDiZEeABXWa5P73rIVCI1SEssQQ%3d%3d" TargetMode="External"/><Relationship Id="rId112" Type="http://schemas.openxmlformats.org/officeDocument/2006/relationships/hyperlink" Target="http://it.rs-online.com/web/c/?searchTerm=CL21B334KOCNNNC%20" TargetMode="External"/><Relationship Id="rId133" Type="http://schemas.openxmlformats.org/officeDocument/2006/relationships/hyperlink" Target="http://www.digikey.com/scripts/DkSearch/dksus.dll?WT.z_header=search_go&amp;lang=en&amp;keywords=CC0603JRNPO8BN220%20Yageo" TargetMode="External"/><Relationship Id="rId154" Type="http://schemas.openxmlformats.org/officeDocument/2006/relationships/hyperlink" Target="http://www.digikey.com/product-detail/en/yageo/RC0805JR-07100RL/311-100ARCT-ND/731185" TargetMode="External"/><Relationship Id="rId175" Type="http://schemas.openxmlformats.org/officeDocument/2006/relationships/hyperlink" Target="http://www.digikey.com/product-detail/en/kingbright/APA3010CGCK-GX/754-1580-1-ND/2757947" TargetMode="External"/><Relationship Id="rId196" Type="http://schemas.openxmlformats.org/officeDocument/2006/relationships/hyperlink" Target="http://it.farnell.com/linear-technology/ltc4412es6-trmpbf/ic-power-path-controller-tsot23/dp/1663917" TargetMode="External"/><Relationship Id="rId200" Type="http://schemas.openxmlformats.org/officeDocument/2006/relationships/hyperlink" Target="http://it.farnell.com/tdk/c3216x5r1e476m160ac/condensatore-mlcc-x5r-47uf-25v/dp/2525172" TargetMode="External"/><Relationship Id="rId16" Type="http://schemas.openxmlformats.org/officeDocument/2006/relationships/hyperlink" Target="http://www.mouser.com/Search/Refine.aspx?Keyword=IRLML6401GTRPBF%20" TargetMode="External"/><Relationship Id="rId221" Type="http://schemas.openxmlformats.org/officeDocument/2006/relationships/hyperlink" Target="http://it.farnell.com/multicomp/mcwr08x2701ftl/resist-film-spesso-2-7kohm-1-0/dp/2447627" TargetMode="External"/><Relationship Id="rId37" Type="http://schemas.openxmlformats.org/officeDocument/2006/relationships/hyperlink" Target="http://www.newark.com/yageo/rc0805jr-0722rl/res-thick-film-22r-5-0-125w-0805/dp/68R0268" TargetMode="External"/><Relationship Id="rId58" Type="http://schemas.openxmlformats.org/officeDocument/2006/relationships/hyperlink" Target="http://www.digikey.com/product-detail/en/linear-technology/LT6106IS5-TRMPBF/LT6106IS5-TRMPBFCT-ND/5965267" TargetMode="External"/><Relationship Id="rId79" Type="http://schemas.openxmlformats.org/officeDocument/2006/relationships/hyperlink" Target="http://www.mouser.com/Search/Refine.aspx?Keyword=EMK212B7105KG-T%20" TargetMode="External"/><Relationship Id="rId102" Type="http://schemas.openxmlformats.org/officeDocument/2006/relationships/hyperlink" Target="http://www.newark.com/texas-instruments/ua78m33cdcy/linear-voltage-regulator-3-3v/dp/03P0895" TargetMode="External"/><Relationship Id="rId123" Type="http://schemas.openxmlformats.org/officeDocument/2006/relationships/hyperlink" Target="http://it.rs-online.com/web/c/?searchTerm=MF-MSMF050-2%20" TargetMode="External"/><Relationship Id="rId144" Type="http://schemas.openxmlformats.org/officeDocument/2006/relationships/hyperlink" Target="http://www.newark.com/webapp/wcs/stores/servlet/Search?catalogId=15003&amp;langId=-1&amp;storeId=10194&amp;gs=true&amp;st=SM5817PL-TP%20" TargetMode="External"/><Relationship Id="rId90" Type="http://schemas.openxmlformats.org/officeDocument/2006/relationships/hyperlink" Target="http://www.digikey.com/product-detail/en/txc-corporation/9C-12.000MAAJ-T/887-1053-1-ND/2118930" TargetMode="External"/><Relationship Id="rId165" Type="http://schemas.openxmlformats.org/officeDocument/2006/relationships/hyperlink" Target="http://it.rs-online.com/web/c/?searchTerm=RC0805JR-07470RL%20" TargetMode="External"/><Relationship Id="rId186" Type="http://schemas.openxmlformats.org/officeDocument/2006/relationships/hyperlink" Target="http://www.digikey.com/product-detail/en/panasonic-electronic-components/ERJ-8CWFR020V/P0.02BVCT-ND/4927042" TargetMode="External"/><Relationship Id="rId211" Type="http://schemas.openxmlformats.org/officeDocument/2006/relationships/hyperlink" Target="http://www.newark.com/yageo/rc0805jr-07150rl/res-thick-film-150r-5-0-125w-0805/dp/68R0262" TargetMode="External"/><Relationship Id="rId232" Type="http://schemas.openxmlformats.org/officeDocument/2006/relationships/hyperlink" Target="http://www.digikey.com/product-detail/en/samsung-electro-mechanics-america-inc/CL21C180JBANNNC/1276-1107-1-ND/3889193" TargetMode="External"/><Relationship Id="rId27" Type="http://schemas.openxmlformats.org/officeDocument/2006/relationships/hyperlink" Target="http://www.digikey.com/product-detail/en/texas-instruments/CSD18509Q5BT/296-37962-1-ND/4915649" TargetMode="External"/><Relationship Id="rId48" Type="http://schemas.openxmlformats.org/officeDocument/2006/relationships/hyperlink" Target="http://www.digikey.com/product-detail/en/vishay-dale/CRCW0805464RFKEA/541-464CCT-ND/1180744" TargetMode="External"/><Relationship Id="rId69" Type="http://schemas.openxmlformats.org/officeDocument/2006/relationships/hyperlink" Target="http://it.farnell.com/yageo-phycomp/rc0805jr-07100kl/res-film-spesso-100k-5-0-125w/dp/9234250" TargetMode="External"/><Relationship Id="rId113" Type="http://schemas.openxmlformats.org/officeDocument/2006/relationships/hyperlink" Target="http://www.digikey.com/product-detail/en/texas-instruments/CSD16321Q5/296-24517-1-ND/2062291" TargetMode="External"/><Relationship Id="rId134" Type="http://schemas.openxmlformats.org/officeDocument/2006/relationships/hyperlink" Target="http://www.mouser.com/Search/Refine.aspx?Keyword=CC0603JRNPO8BN220%20Yageo" TargetMode="External"/><Relationship Id="rId80" Type="http://schemas.openxmlformats.org/officeDocument/2006/relationships/hyperlink" Target="http://www.newark.com/taiyo-yuden/emk212b7105kg-t/ceramic-capacitor-1uf-16v-x7r/dp/77M8436" TargetMode="External"/><Relationship Id="rId155" Type="http://schemas.openxmlformats.org/officeDocument/2006/relationships/hyperlink" Target="http://it.farnell.com/yageo-phycomp/rc0805jr-07100rl/res-film-spesso-100r-5-0-125w/dp/9233881" TargetMode="External"/><Relationship Id="rId176" Type="http://schemas.openxmlformats.org/officeDocument/2006/relationships/hyperlink" Target="http://it.farnell.com/webapp/wcs/stores/servlet/Search?catalogId=15001&amp;langId=-4&amp;storeId=10165&amp;gs=true&amp;st=APA3010CGCK-GX%20" TargetMode="External"/><Relationship Id="rId197" Type="http://schemas.openxmlformats.org/officeDocument/2006/relationships/hyperlink" Target="http://www.newark.com/linear-technology/ltc4412es6-trmpbf/hot-swap-controller-28v-tsot-23/dp/56M9516" TargetMode="External"/><Relationship Id="rId201" Type="http://schemas.openxmlformats.org/officeDocument/2006/relationships/hyperlink" Target="http://www.mouser.com/Search/Refine.aspx?Keyword=C3216X5R1E476M160AC%20TDK" TargetMode="External"/><Relationship Id="rId222" Type="http://schemas.openxmlformats.org/officeDocument/2006/relationships/hyperlink" Target="http://www.newark.com/multicomp/mcwr08x2701ftl/surface-mount-chip-resistor-thick/dp/94X1945" TargetMode="External"/><Relationship Id="rId17" Type="http://schemas.openxmlformats.org/officeDocument/2006/relationships/hyperlink" Target="http://it.rs-online.com/web/c/?searchTerm=IRLML6401GTRPBF%20" TargetMode="External"/><Relationship Id="rId38" Type="http://schemas.openxmlformats.org/officeDocument/2006/relationships/hyperlink" Target="http://it.rs-online.com/web/c/?searchTerm=RC0805JR-0722RL%20" TargetMode="External"/><Relationship Id="rId59" Type="http://schemas.openxmlformats.org/officeDocument/2006/relationships/hyperlink" Target="http://www.newark.com/webapp/wcs/stores/servlet/Search?catalogId=15003&amp;langId=-1&amp;storeId=10194&amp;gs=true&amp;st=LT6106IS5%23TRPBF%20" TargetMode="External"/><Relationship Id="rId103" Type="http://schemas.openxmlformats.org/officeDocument/2006/relationships/hyperlink" Target="http://it.rs-online.com/web/c/?searchTerm=UA78M33CDCY%20" TargetMode="External"/><Relationship Id="rId124" Type="http://schemas.openxmlformats.org/officeDocument/2006/relationships/hyperlink" Target="http://www.digikey.com/product-detail/en/wurth-electronics-inc/742792641/732-1592-1-ND/1639536" TargetMode="External"/><Relationship Id="rId70" Type="http://schemas.openxmlformats.org/officeDocument/2006/relationships/hyperlink" Target="http://www.mouser.com/ProductDetail/Yageo/RC0805JR-07100KL/?qs=sGAEpiMZZMu61qfTUdNhG5eFuApKbqVdvpI%2f2FKOzmo%3d" TargetMode="External"/><Relationship Id="rId91" Type="http://schemas.openxmlformats.org/officeDocument/2006/relationships/hyperlink" Target="http://it.farnell.com/txc/9c-12-000maaj-t/xtal-12-000mhz-18pf-smd-hc-49s/dp/1842280" TargetMode="External"/><Relationship Id="rId145" Type="http://schemas.openxmlformats.org/officeDocument/2006/relationships/hyperlink" Target="http://it.farnell.com/webapp/wcs/stores/servlet/Search?catalogId=15001&amp;langId=-4&amp;storeId=10165&amp;gs=true&amp;st=XAL1010-472MEB%20" TargetMode="External"/><Relationship Id="rId166" Type="http://schemas.openxmlformats.org/officeDocument/2006/relationships/hyperlink" Target="http://www.digikey.com/product-detail/en/microchip-technology/24LC02BT-I-SN/24LC02BT-I-SNCT-ND/5011020" TargetMode="External"/><Relationship Id="rId187" Type="http://schemas.openxmlformats.org/officeDocument/2006/relationships/hyperlink" Target="http://it.farnell.com/panasonic-electronic-components/erj8cwfr020v/resistore-pellicola-spessa-0-02/dp/2145291" TargetMode="External"/><Relationship Id="rId1" Type="http://schemas.openxmlformats.org/officeDocument/2006/relationships/hyperlink" Target="http://www.digikey.com/product-detail/en/avx-corporation/08055C103KAT2A/478-1383-1-ND/564415" TargetMode="External"/><Relationship Id="rId212" Type="http://schemas.openxmlformats.org/officeDocument/2006/relationships/hyperlink" Target="http://it.rs-online.com/web/c/?searchTerm=RC0805JR-07150RL%20" TargetMode="External"/><Relationship Id="rId233" Type="http://schemas.openxmlformats.org/officeDocument/2006/relationships/hyperlink" Target="http://it.rs-online.com/web/c/?searchTerm=CL21C180JBANNNC%20" TargetMode="External"/><Relationship Id="rId28" Type="http://schemas.openxmlformats.org/officeDocument/2006/relationships/hyperlink" Target="http://it.farnell.com/texas-instruments/csd18509q5bt/mosfet-canale-n-40v-100a-vson/dp/2447869" TargetMode="External"/><Relationship Id="rId49" Type="http://schemas.openxmlformats.org/officeDocument/2006/relationships/hyperlink" Target="http://it.farnell.com/vishay/crcw0805464rfkea/res-film-spesso-464r-1-0-125w/dp/1653004" TargetMode="External"/><Relationship Id="rId114" Type="http://schemas.openxmlformats.org/officeDocument/2006/relationships/hyperlink" Target="http://it.farnell.com/texas-instruments/csd16321q5/mosfet-canale-n-25v-100a-8son/dp/1778303" TargetMode="External"/><Relationship Id="rId60" Type="http://schemas.openxmlformats.org/officeDocument/2006/relationships/hyperlink" Target="http://www.mouser.com/Search/Refine.aspx?Keyword=SK152-TP%20" TargetMode="External"/><Relationship Id="rId81" Type="http://schemas.openxmlformats.org/officeDocument/2006/relationships/hyperlink" Target="http://www.digikey.com/scripts/DkSearch/dksus.dll?WT.z_header=search_go&amp;lang=en&amp;keywords=EMK212ABJ106KG-T%20" TargetMode="External"/><Relationship Id="rId135" Type="http://schemas.openxmlformats.org/officeDocument/2006/relationships/hyperlink" Target="http://www.newark.com/avx/06033a220jat2a/ceramic-capacitor-22pf-25v-c0g/dp/94W2864?rpsku=rel3%3ACC0603JRNPO8BN220" TargetMode="External"/><Relationship Id="rId156" Type="http://schemas.openxmlformats.org/officeDocument/2006/relationships/hyperlink" Target="http://www.mouser.com/ProductDetail/Yageo/RC0805JR-07100RL/?qs=sGAEpiMZZMu61qfTUdNhG5eFuApKbqVdcXVxqHLtdOg%3d" TargetMode="External"/><Relationship Id="rId177" Type="http://schemas.openxmlformats.org/officeDocument/2006/relationships/hyperlink" Target="http://www.mouser.com/Search/Refine.aspx?Keyword=APA3010CGCK-GX%20" TargetMode="External"/><Relationship Id="rId198" Type="http://schemas.openxmlformats.org/officeDocument/2006/relationships/hyperlink" Target="http://it.rs-online.com/web/p/controller-hot-swap/0471415/" TargetMode="External"/><Relationship Id="rId202" Type="http://schemas.openxmlformats.org/officeDocument/2006/relationships/hyperlink" Target="http://www.newark.com/tdk/c3216x5r1e476m160ac/ceramic-capacitor-47uf-25v-x5r/dp/65T7805" TargetMode="External"/><Relationship Id="rId223" Type="http://schemas.openxmlformats.org/officeDocument/2006/relationships/hyperlink" Target="http://www.digikey.com/scripts/DkSearch/dksus.dll?WT.z_header=search_go&amp;lang=en&amp;keywords=614004184726%20" TargetMode="External"/><Relationship Id="rId18" Type="http://schemas.openxmlformats.org/officeDocument/2006/relationships/hyperlink" Target="http://www.digikey.com/product-detail/en/taiyo-yuden/EMK212B7474KD-T/587-1282-1-ND/931059" TargetMode="External"/><Relationship Id="rId39" Type="http://schemas.openxmlformats.org/officeDocument/2006/relationships/hyperlink" Target="http://www.digikey.com/product-detail/en/yageo/RC0805JR-07470KL/311-470KARCT-ND/731281" TargetMode="External"/><Relationship Id="rId50" Type="http://schemas.openxmlformats.org/officeDocument/2006/relationships/hyperlink" Target="http://www.mouser.com/Search/Refine.aspx?Keyword=CRCW0805464RFKEA%20" TargetMode="External"/><Relationship Id="rId104" Type="http://schemas.openxmlformats.org/officeDocument/2006/relationships/hyperlink" Target="http://www.digikey.com/scripts/DkSearch/dksus.dll?WT.z_header=search_go&amp;lang=en&amp;keywords=LB%20Q39E-L2OO-35-1%20" TargetMode="External"/><Relationship Id="rId125" Type="http://schemas.openxmlformats.org/officeDocument/2006/relationships/hyperlink" Target="http://it.farnell.com/wurth-elektronik/742792641/ferrite-perlina-0603-0-15ohm-2a/dp/1635705" TargetMode="External"/><Relationship Id="rId146" Type="http://schemas.openxmlformats.org/officeDocument/2006/relationships/hyperlink" Target="http://www.mouser.com/ProductDetail/Coilcraft/XAL1010-472MEB/?qs=sGAEpiMZZMsg%252by3WlYCkU2kWFds1hA9DK6YM5FXTifo%3d" TargetMode="External"/><Relationship Id="rId167" Type="http://schemas.openxmlformats.org/officeDocument/2006/relationships/hyperlink" Target="http://it.farnell.com/webapp/wcs/stores/servlet/Search?catalogId=15001&amp;langId=-4&amp;storeId=10165&amp;gs=true&amp;st=24LC02BT-I%2FSN%20" TargetMode="External"/><Relationship Id="rId188" Type="http://schemas.openxmlformats.org/officeDocument/2006/relationships/hyperlink" Target="http://www.mouser.com/Search/Refine.aspx?Keyword=ERJ8CWFR020V%20" TargetMode="External"/><Relationship Id="rId71" Type="http://schemas.openxmlformats.org/officeDocument/2006/relationships/hyperlink" Target="http://www.newark.com/yageo-phycomp/rc0805jr-07100kl/res-thick-film-100k-5-0-125w-0805/dp/12AC2208" TargetMode="External"/><Relationship Id="rId92" Type="http://schemas.openxmlformats.org/officeDocument/2006/relationships/hyperlink" Target="http://www.mouser.com/Search/Refine.aspx?Keyword=9C-12.000MAAJ-T%20" TargetMode="External"/><Relationship Id="rId213" Type="http://schemas.openxmlformats.org/officeDocument/2006/relationships/hyperlink" Target="http://www.digikey.com/product-detail/en/yageo/RC0805JR-07330RL/311-330ARCT-ND/731258" TargetMode="External"/><Relationship Id="rId234" Type="http://schemas.openxmlformats.org/officeDocument/2006/relationships/hyperlink" Target="http://www.digikey.com/scripts/DkSearch/dksus.dll?WT.z_header=search_go&amp;lang=en&amp;keywords=LM3150MH%2FNOPB%20" TargetMode="External"/><Relationship Id="rId2" Type="http://schemas.openxmlformats.org/officeDocument/2006/relationships/hyperlink" Target="http://it.farnell.com/avx/08055c103kat2a/condensatore-mlcc-x7r-10nf-50v/dp/499225" TargetMode="External"/><Relationship Id="rId29" Type="http://schemas.openxmlformats.org/officeDocument/2006/relationships/hyperlink" Target="http://www.mouser.com/ProductDetail/Texas-Instruments/CSD18509Q5B/?qs=sGAEpiMZZMshyDBzk1%2fWi5%252b%2f6t%2fTU9Z71ef82CqAYAflfrxAVDpCww%3d%3d" TargetMode="External"/><Relationship Id="rId40" Type="http://schemas.openxmlformats.org/officeDocument/2006/relationships/hyperlink" Target="http://it.farnell.com/yageo-phycomp/rc0805jr-07470kl/res-film-spesso-470k-5-0-125w/dp/9234330" TargetMode="External"/><Relationship Id="rId115" Type="http://schemas.openxmlformats.org/officeDocument/2006/relationships/hyperlink" Target="http://www.newark.com/texas-instruments/csd16321q5/n-channel-power-mosfet-nexfet/dp/34T4848" TargetMode="External"/><Relationship Id="rId136" Type="http://schemas.openxmlformats.org/officeDocument/2006/relationships/hyperlink" Target="http://it.rs-online.com/web/c/?searchTerm=CC0603JRNPO8BN220%20" TargetMode="External"/><Relationship Id="rId157" Type="http://schemas.openxmlformats.org/officeDocument/2006/relationships/hyperlink" Target="http://www.newark.com/yageo/rc0805jr-07100rl/res-thick-film-100r-5-0-125w-0805/dp/68R0261" TargetMode="External"/><Relationship Id="rId178" Type="http://schemas.openxmlformats.org/officeDocument/2006/relationships/hyperlink" Target="http://www.digikey.com/product-detail/en/wurth-electronics-inc/744232090/732-1469-1-ND/1639481" TargetMode="External"/><Relationship Id="rId61" Type="http://schemas.openxmlformats.org/officeDocument/2006/relationships/hyperlink" Target="http://www.digikey.com/scripts/DkSearch/dksus.dll?WT.z_header=search_go&amp;lang=en&amp;keywords=LTL-4291N%20" TargetMode="External"/><Relationship Id="rId82" Type="http://schemas.openxmlformats.org/officeDocument/2006/relationships/hyperlink" Target="http://www.mouser.com/Search/Refine.aspx?Keyword=EMK212ABJ106KG-T%20" TargetMode="External"/><Relationship Id="rId199" Type="http://schemas.openxmlformats.org/officeDocument/2006/relationships/hyperlink" Target="http://www.digikey.com/product-detail/en/tdk-corporation/C3216X5R1E476M160AC/445-8047-1-ND/2792164" TargetMode="External"/><Relationship Id="rId203" Type="http://schemas.openxmlformats.org/officeDocument/2006/relationships/hyperlink" Target="http://it.rs-online.com/web/p/condensatori-ceramici-multistrato/7883060/" TargetMode="External"/><Relationship Id="rId19" Type="http://schemas.openxmlformats.org/officeDocument/2006/relationships/hyperlink" Target="http://it.farnell.com/webapp/wcs/stores/servlet/Search?catalogId=15001&amp;langId=-4&amp;storeId=10165&amp;gs=true&amp;st=EMK212B7474KD-T%20" TargetMode="External"/><Relationship Id="rId224" Type="http://schemas.openxmlformats.org/officeDocument/2006/relationships/hyperlink" Target="http://it.farnell.com/webapp/wcs/stores/servlet/Search?catalogId=15001&amp;langId=-4&amp;storeId=10165&amp;gs=true&amp;st=614004184726%20" TargetMode="External"/><Relationship Id="rId30" Type="http://schemas.openxmlformats.org/officeDocument/2006/relationships/hyperlink" Target="http://www.newark.com/webapp/wcs/stores/servlet/Search?catalogId=15003&amp;langId=-1&amp;storeId=10194&amp;gs=true&amp;st=CSD18509Q5B%20" TargetMode="External"/><Relationship Id="rId105" Type="http://schemas.openxmlformats.org/officeDocument/2006/relationships/hyperlink" Target="http://www.mouser.com/Search/Refine.aspx?Keyword=LB%20Q39E-L2OO-35-1%20" TargetMode="External"/><Relationship Id="rId126" Type="http://schemas.openxmlformats.org/officeDocument/2006/relationships/hyperlink" Target="http://www.mouser.com/Search/Refine.aspx?Keyword=742792641%20" TargetMode="External"/><Relationship Id="rId147" Type="http://schemas.openxmlformats.org/officeDocument/2006/relationships/hyperlink" Target="http://www.digikey.com/product-detail/en/yageo/CC0805KRX7R9BB153/311-1143-1-ND/303053" TargetMode="External"/><Relationship Id="rId168" Type="http://schemas.openxmlformats.org/officeDocument/2006/relationships/hyperlink" Target="http://www.newark.com/microchip/24lc02bt-i-sn/eeprom-2kbit-400khz-i2c-soic-8/dp/18AC8068" TargetMode="External"/><Relationship Id="rId51" Type="http://schemas.openxmlformats.org/officeDocument/2006/relationships/hyperlink" Target="http://www.newark.com/vishay/crcw0805464rfkea/thick-film-resistor-464-ohm-125mw/dp/53K0276" TargetMode="External"/><Relationship Id="rId72" Type="http://schemas.openxmlformats.org/officeDocument/2006/relationships/hyperlink" Target="http://www.digikey.com/product-detail/en/yageo/RC0805JR-0710KL/311-10KARCT-ND/731188" TargetMode="External"/><Relationship Id="rId93" Type="http://schemas.openxmlformats.org/officeDocument/2006/relationships/hyperlink" Target="http://www.newark.com/txc/9c-12-000maaj-t/crystal-12mhz-18pf-hc-49s/dp/84R5843" TargetMode="External"/><Relationship Id="rId189" Type="http://schemas.openxmlformats.org/officeDocument/2006/relationships/hyperlink" Target="http://www.newark.com/panasonic-electronic-components/erj8cwfr020v/smd-current-sense-resistors-aec/dp/63W1419" TargetMode="External"/><Relationship Id="rId3" Type="http://schemas.openxmlformats.org/officeDocument/2006/relationships/hyperlink" Target="http://www.mouser.com/Search/Refine.aspx?Keyword=08055C103KAT2A%20" TargetMode="External"/><Relationship Id="rId214" Type="http://schemas.openxmlformats.org/officeDocument/2006/relationships/hyperlink" Target="http://it.farnell.com/yageo-phycomp/rc0805jr-07330rl/res-film-spesso-330r-5-0-125w/dp/9233946" TargetMode="External"/><Relationship Id="rId235" Type="http://schemas.openxmlformats.org/officeDocument/2006/relationships/hyperlink" Target="http://it.farnell.com/webapp/wcs/stores/servlet/Search?catalogId=15001&amp;langId=-4&amp;storeId=10165&amp;gs=true&amp;st=LM3150MH%2FNOPB%20" TargetMode="External"/><Relationship Id="rId116" Type="http://schemas.openxmlformats.org/officeDocument/2006/relationships/hyperlink" Target="http://it.rs-online.com/web/c/?searchTerm=CSD16321Q5%20" TargetMode="External"/><Relationship Id="rId137" Type="http://schemas.openxmlformats.org/officeDocument/2006/relationships/hyperlink" Target="http://www.digikey.com/product-detail/en/bourns-inc/CG0603MLC-05E/CG0603MLC-05ECT-ND/3438061" TargetMode="External"/><Relationship Id="rId158" Type="http://schemas.openxmlformats.org/officeDocument/2006/relationships/hyperlink" Target="http://it.rs-online.com/web/c/?searchTerm=RC0805JR-07100RL%20" TargetMode="External"/><Relationship Id="rId20" Type="http://schemas.openxmlformats.org/officeDocument/2006/relationships/hyperlink" Target="http://www.mouser.com/Search/Refine.aspx?Keyword=EMK212B7474KD-T%20" TargetMode="External"/><Relationship Id="rId41" Type="http://schemas.openxmlformats.org/officeDocument/2006/relationships/hyperlink" Target="http://www.mouser.com/ProductDetail/Yageo/RC0805JR-07470KL/?qs=sGAEpiMZZMu61qfTUdNhG0IfGdGRhTL5f7wUixn3vjY%3d" TargetMode="External"/><Relationship Id="rId62" Type="http://schemas.openxmlformats.org/officeDocument/2006/relationships/hyperlink" Target="http://www.mouser.com/Search/Refine.aspx?Keyword=LTL-4291N%20" TargetMode="External"/><Relationship Id="rId83" Type="http://schemas.openxmlformats.org/officeDocument/2006/relationships/hyperlink" Target="http://www.newark.com/webapp/wcs/stores/servlet/Search?catalogId=15003&amp;langId=-1&amp;storeId=10194&amp;gs=true&amp;st=EMK212ABJ106KG-T%20" TargetMode="External"/><Relationship Id="rId179" Type="http://schemas.openxmlformats.org/officeDocument/2006/relationships/hyperlink" Target="http://it.farnell.com/wurth-elektronik/744232090/filtro-comune-emi-0-37a/dp/1636474" TargetMode="External"/><Relationship Id="rId190" Type="http://schemas.openxmlformats.org/officeDocument/2006/relationships/hyperlink" Target="http://it.rs-online.com/web/p/resistori-smd/1067117/" TargetMode="External"/><Relationship Id="rId204" Type="http://schemas.openxmlformats.org/officeDocument/2006/relationships/hyperlink" Target="http://www.digikey.com/product-detail/en/avx-corporation/F920J226MPA/478-8119-1-ND/4005716" TargetMode="External"/><Relationship Id="rId225" Type="http://schemas.openxmlformats.org/officeDocument/2006/relationships/hyperlink" Target="http://www.mouser.com/Search/Refine.aspx?Keyword=614004184726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1"/>
  <sheetViews>
    <sheetView tabSelected="1" zoomScale="85" zoomScaleNormal="85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F89" sqref="F89"/>
    </sheetView>
  </sheetViews>
  <sheetFormatPr defaultRowHeight="15" outlineLevelCol="2" x14ac:dyDescent="0.25"/>
  <cols>
    <col min="1" max="1" width="9.140625" style="1"/>
    <col min="2" max="2" width="13.7109375" style="1" customWidth="1"/>
    <col min="3" max="3" width="16.85546875" style="1" bestFit="1" customWidth="1"/>
    <col min="4" max="4" width="26.140625" style="1" customWidth="1"/>
    <col min="5" max="5" width="18.140625" style="1" customWidth="1"/>
    <col min="6" max="6" width="22.140625" style="1" bestFit="1" customWidth="1"/>
    <col min="7" max="7" width="12.5703125" style="1" bestFit="1" customWidth="1"/>
    <col min="8" max="8" width="13.28515625" style="1" bestFit="1" customWidth="1"/>
    <col min="9" max="9" width="15.7109375" style="1" customWidth="1"/>
    <col min="10" max="10" width="9.140625" style="1" customWidth="1" outlineLevel="1"/>
    <col min="11" max="11" width="9.140625" style="1" customWidth="1" outlineLevel="2"/>
    <col min="12" max="12" width="10.42578125" style="1" customWidth="1" outlineLevel="2"/>
    <col min="13" max="13" width="15.7109375" style="1" customWidth="1"/>
    <col min="14" max="15" width="9.140625" style="1" customWidth="1" outlineLevel="2"/>
    <col min="16" max="16" width="9.140625" style="1" customWidth="1" outlineLevel="1"/>
    <col min="17" max="18" width="9.140625" style="1" customWidth="1" outlineLevel="2"/>
    <col min="19" max="19" width="15.7109375" style="1" customWidth="1"/>
    <col min="20" max="21" width="9.140625" style="1" customWidth="1" outlineLevel="2"/>
    <col min="22" max="22" width="9.140625" style="1" customWidth="1" outlineLevel="1"/>
    <col min="23" max="24" width="9.140625" style="1" customWidth="1" outlineLevel="2"/>
    <col min="25" max="25" width="15.7109375" style="1" customWidth="1"/>
    <col min="26" max="27" width="9.140625" style="1" customWidth="1" outlineLevel="2"/>
    <col min="28" max="28" width="9.140625" style="1" customWidth="1" outlineLevel="1"/>
    <col min="29" max="30" width="9.140625" style="1" customWidth="1" outlineLevel="2"/>
    <col min="31" max="31" width="15.7109375" style="1" customWidth="1"/>
    <col min="32" max="33" width="9.140625" style="1" customWidth="1" outlineLevel="2"/>
    <col min="34" max="34" width="9.140625" style="1" customWidth="1" outlineLevel="1"/>
    <col min="35" max="36" width="9.140625" style="1" customWidth="1" outlineLevel="2"/>
    <col min="37" max="37" width="15.7109375" style="1" customWidth="1"/>
    <col min="38" max="39" width="9.140625" style="1" customWidth="1" outlineLevel="2"/>
    <col min="40" max="40" width="9.140625" style="1" customWidth="1" outlineLevel="1"/>
    <col min="41" max="42" width="9.140625" style="1" customWidth="1" outlineLevel="2"/>
    <col min="43" max="43" width="15" style="1" customWidth="1"/>
    <col min="44" max="45" width="9.140625" style="1" customWidth="1" outlineLevel="2"/>
    <col min="46" max="16384" width="9.140625" style="1"/>
  </cols>
  <sheetData>
    <row r="1" spans="1:45" ht="17.25" x14ac:dyDescent="0.3">
      <c r="H1" s="2" t="s">
        <v>282</v>
      </c>
      <c r="I1" s="2">
        <v>250</v>
      </c>
    </row>
    <row r="2" spans="1:45" ht="17.25" x14ac:dyDescent="0.25">
      <c r="H2" s="3" t="s">
        <v>283</v>
      </c>
      <c r="I2" s="4">
        <f ca="1">SUM(I7:I83)</f>
        <v>19071.0825</v>
      </c>
      <c r="M2" s="4">
        <f>SUM(M7:M78)</f>
        <v>9300.6850000000013</v>
      </c>
      <c r="S2" s="4">
        <f>SUM(S7:S78)</f>
        <v>7782.6185750000004</v>
      </c>
      <c r="Y2" s="4">
        <f>SUM(Y7:Y78)</f>
        <v>6473.75</v>
      </c>
      <c r="AE2" s="4">
        <f>SUM(AE7:AE78)</f>
        <v>9193.75</v>
      </c>
      <c r="AK2" s="4">
        <f>SUM(AK7:AK78)</f>
        <v>192829.26299999998</v>
      </c>
      <c r="AQ2" s="4">
        <f>SUM(AQ7:AQ78)</f>
        <v>7598.3270000000002</v>
      </c>
    </row>
    <row r="3" spans="1:45" ht="17.25" x14ac:dyDescent="0.25">
      <c r="H3" s="3" t="s">
        <v>284</v>
      </c>
      <c r="I3" s="5">
        <f ca="1">TotalCost/BoardQty</f>
        <v>76.284329999999997</v>
      </c>
    </row>
    <row r="5" spans="1:45" ht="18.75" x14ac:dyDescent="0.25">
      <c r="A5" s="16" t="s">
        <v>0</v>
      </c>
      <c r="B5" s="16"/>
      <c r="C5" s="16"/>
      <c r="D5" s="16"/>
      <c r="E5" s="16"/>
      <c r="F5" s="16"/>
      <c r="G5" s="16"/>
      <c r="H5" s="16"/>
      <c r="I5" s="16"/>
      <c r="J5" s="17" t="s">
        <v>285</v>
      </c>
      <c r="K5" s="17"/>
      <c r="L5" s="17"/>
      <c r="M5" s="17"/>
      <c r="N5" s="17"/>
      <c r="O5" s="17"/>
      <c r="P5" s="18" t="s">
        <v>346</v>
      </c>
      <c r="Q5" s="18"/>
      <c r="R5" s="18"/>
      <c r="S5" s="18"/>
      <c r="T5" s="18"/>
      <c r="U5" s="18"/>
      <c r="V5" s="19" t="s">
        <v>392</v>
      </c>
      <c r="W5" s="19"/>
      <c r="X5" s="19"/>
      <c r="Y5" s="19"/>
      <c r="Z5" s="19"/>
      <c r="AA5" s="19"/>
      <c r="AB5" s="20" t="s">
        <v>441</v>
      </c>
      <c r="AC5" s="20"/>
      <c r="AD5" s="20"/>
      <c r="AE5" s="20"/>
      <c r="AF5" s="20"/>
      <c r="AG5" s="20"/>
      <c r="AH5" s="14" t="s">
        <v>490</v>
      </c>
      <c r="AI5" s="14"/>
      <c r="AJ5" s="14"/>
      <c r="AK5" s="14"/>
      <c r="AL5" s="14"/>
      <c r="AM5" s="14"/>
      <c r="AN5" s="15" t="s">
        <v>541</v>
      </c>
      <c r="AO5" s="15"/>
      <c r="AP5" s="15"/>
      <c r="AQ5" s="15"/>
      <c r="AR5" s="15"/>
      <c r="AS5" s="15"/>
    </row>
    <row r="6" spans="1:45" ht="15.75" x14ac:dyDescent="0.25">
      <c r="A6" s="6" t="s">
        <v>6</v>
      </c>
      <c r="B6" s="6" t="s">
        <v>8</v>
      </c>
      <c r="C6" s="6" t="s">
        <v>9</v>
      </c>
      <c r="D6" s="6" t="s">
        <v>5</v>
      </c>
      <c r="E6" s="6" t="s">
        <v>4</v>
      </c>
      <c r="F6" s="6" t="s">
        <v>1</v>
      </c>
      <c r="G6" s="6" t="s">
        <v>7</v>
      </c>
      <c r="H6" s="6" t="s">
        <v>3</v>
      </c>
      <c r="I6" s="6" t="s">
        <v>2</v>
      </c>
      <c r="J6" s="6" t="s">
        <v>287</v>
      </c>
      <c r="K6" s="6" t="s">
        <v>288</v>
      </c>
      <c r="L6" s="6" t="s">
        <v>3</v>
      </c>
      <c r="M6" s="6" t="s">
        <v>2</v>
      </c>
      <c r="N6" s="6" t="s">
        <v>289</v>
      </c>
      <c r="O6" s="6" t="s">
        <v>286</v>
      </c>
      <c r="P6" s="6" t="s">
        <v>287</v>
      </c>
      <c r="Q6" s="6" t="s">
        <v>288</v>
      </c>
      <c r="R6" s="6" t="s">
        <v>3</v>
      </c>
      <c r="S6" s="6" t="s">
        <v>2</v>
      </c>
      <c r="T6" s="6" t="s">
        <v>289</v>
      </c>
      <c r="U6" s="6" t="s">
        <v>286</v>
      </c>
      <c r="V6" s="6" t="s">
        <v>287</v>
      </c>
      <c r="W6" s="6" t="s">
        <v>288</v>
      </c>
      <c r="X6" s="6" t="s">
        <v>3</v>
      </c>
      <c r="Y6" s="6" t="s">
        <v>2</v>
      </c>
      <c r="Z6" s="6" t="s">
        <v>289</v>
      </c>
      <c r="AA6" s="6" t="s">
        <v>286</v>
      </c>
      <c r="AB6" s="6" t="s">
        <v>287</v>
      </c>
      <c r="AC6" s="6" t="s">
        <v>288</v>
      </c>
      <c r="AD6" s="6" t="s">
        <v>3</v>
      </c>
      <c r="AE6" s="6" t="s">
        <v>2</v>
      </c>
      <c r="AF6" s="6" t="s">
        <v>289</v>
      </c>
      <c r="AG6" s="6" t="s">
        <v>286</v>
      </c>
      <c r="AH6" s="6" t="s">
        <v>287</v>
      </c>
      <c r="AI6" s="6" t="s">
        <v>288</v>
      </c>
      <c r="AJ6" s="6" t="s">
        <v>3</v>
      </c>
      <c r="AK6" s="6" t="s">
        <v>2</v>
      </c>
      <c r="AL6" s="6" t="s">
        <v>289</v>
      </c>
      <c r="AM6" s="6" t="s">
        <v>286</v>
      </c>
      <c r="AN6" s="6" t="s">
        <v>287</v>
      </c>
      <c r="AO6" s="6" t="s">
        <v>288</v>
      </c>
      <c r="AP6" s="6" t="s">
        <v>3</v>
      </c>
      <c r="AQ6" s="6" t="s">
        <v>2</v>
      </c>
      <c r="AR6" s="6" t="s">
        <v>289</v>
      </c>
      <c r="AS6" s="6" t="s">
        <v>286</v>
      </c>
    </row>
    <row r="7" spans="1:45" x14ac:dyDescent="0.25">
      <c r="A7" s="1" t="s">
        <v>10</v>
      </c>
      <c r="B7" s="1" t="s">
        <v>14</v>
      </c>
      <c r="D7" s="1" t="s">
        <v>13</v>
      </c>
      <c r="E7" s="1" t="s">
        <v>12</v>
      </c>
      <c r="F7" s="1" t="s">
        <v>11</v>
      </c>
      <c r="G7" s="1">
        <f>BoardQty*1</f>
        <v>250</v>
      </c>
      <c r="H7" s="7">
        <f t="shared" ref="H7:H38" ca="1" si="0">MINA(INDIRECT(ADDRESS(ROW(),COLUMN(newark_part_data)+2)),INDIRECT(ADDRESS(ROW(),COLUMN(digikey_part_data)+2)),INDIRECT(ADDRESS(ROW(),COLUMN(rs_part_data)+2)),INDIRECT(ADDRESS(ROW(),COLUMN(farnell_part_data)+2)),INDIRECT(ADDRESS(ROW(),COLUMN(mouser_part_data)+2)),INDIRECT(ADDRESS(ROW(),COLUMN($AN$5:$AS$80)+2)))</f>
        <v>9.7000000000000003E-3</v>
      </c>
      <c r="I7" s="8">
        <f t="shared" ref="I7:I38" ca="1" si="1">IFERROR(G7*H7,"")</f>
        <v>2.4250000000000003</v>
      </c>
      <c r="J7" s="1">
        <v>171559</v>
      </c>
      <c r="L7" s="8">
        <f>IFERROR(LOOKUP(IF(K7="",G7,K7),{0,1,10,100,500,1000,2500,4000,5000,8000,12000,15000,30000},{0,0.1,0.036,0.0161,0.01152,0.00904,0.00822,0.00658,0.00756,0.00601,0.00572,0.00572,0.00543}),"")</f>
        <v>1.61E-2</v>
      </c>
      <c r="M7" s="8">
        <f t="shared" ref="M7:M14" si="2">IFERROR(IF(K7="",G7,K7)*L7,"")</f>
        <v>4.0250000000000004</v>
      </c>
      <c r="N7" s="1" t="s">
        <v>291</v>
      </c>
      <c r="O7" s="9" t="s">
        <v>290</v>
      </c>
      <c r="R7" s="8">
        <f>IFERROR(LOOKUP(IF(Q7="",G7,Q7),{0,1,100,500,1000,2000},{0,0.0210474,0.0210474,0.0158387,0.0126497,0.0105237}),"")</f>
        <v>2.1047400000000001E-2</v>
      </c>
      <c r="S7" s="8">
        <f>IFERROR(IF(Q7="",G7,Q7)*R7,"")</f>
        <v>5.2618499999999999</v>
      </c>
      <c r="T7" s="1" t="s">
        <v>347</v>
      </c>
      <c r="U7" s="9" t="s">
        <v>290</v>
      </c>
      <c r="V7" s="1">
        <v>339968</v>
      </c>
      <c r="X7" s="8">
        <f>IFERROR(LOOKUP(IF(W7="",G7,W7),{0,1,50,100,500,1000,4000},{0,0.101,0.017,0.011,0.01,0.008,0.004}),"")</f>
        <v>1.0999999999999999E-2</v>
      </c>
      <c r="Y7" s="8">
        <f t="shared" ref="Y7:Y14" si="3">IFERROR(IF(W7="",G7,W7)*X7,"")</f>
        <v>2.75</v>
      </c>
      <c r="Z7" s="1" t="s">
        <v>393</v>
      </c>
      <c r="AA7" s="9" t="s">
        <v>290</v>
      </c>
      <c r="AD7" s="8">
        <f>IFERROR(LOOKUP(IF(AC7="",G7,AC7),{0,1,25,50,100,250,500,1000},{0,0.1,0.059,0.017,0.011,0.011,0.01,0.008}),"")</f>
        <v>1.0999999999999999E-2</v>
      </c>
      <c r="AE7" s="8">
        <f>IFERROR(IF(AC7="",G7,AC7)*AD7,"")</f>
        <v>2.75</v>
      </c>
      <c r="AF7" s="1" t="s">
        <v>442</v>
      </c>
      <c r="AG7" s="9" t="s">
        <v>290</v>
      </c>
      <c r="AH7" s="1">
        <v>2350</v>
      </c>
      <c r="AJ7" s="8">
        <f>IFERROR(LOOKUP(IF(AI7="",G7,AI7),{0,1,50,500},{0,0.017008,0.017008,0.007441}),"")</f>
        <v>1.7007999999999999E-2</v>
      </c>
      <c r="AK7" s="8">
        <f>IFERROR(IF(AI7="",G7,AI7)*AJ7,"")</f>
        <v>4.2519999999999998</v>
      </c>
      <c r="AL7" s="1" t="s">
        <v>491</v>
      </c>
      <c r="AM7" s="9" t="s">
        <v>290</v>
      </c>
      <c r="AN7" s="1">
        <v>79981</v>
      </c>
      <c r="AP7" s="7">
        <v>9.7000000000000003E-3</v>
      </c>
      <c r="AQ7" s="8">
        <f>IFERROR(IF(AO7="",G7,AO7)*AP7,"")</f>
        <v>2.4250000000000003</v>
      </c>
      <c r="AS7" s="10" t="s">
        <v>290</v>
      </c>
    </row>
    <row r="8" spans="1:45" x14ac:dyDescent="0.25">
      <c r="A8" s="1" t="s">
        <v>15</v>
      </c>
      <c r="B8" s="1" t="s">
        <v>19</v>
      </c>
      <c r="D8" s="1" t="s">
        <v>18</v>
      </c>
      <c r="E8" s="1" t="s">
        <v>17</v>
      </c>
      <c r="F8" s="1" t="s">
        <v>16</v>
      </c>
      <c r="G8" s="1">
        <f>BoardQty*1</f>
        <v>250</v>
      </c>
      <c r="H8" s="7">
        <f t="shared" ca="1" si="0"/>
        <v>5.5E-2</v>
      </c>
      <c r="I8" s="8">
        <f t="shared" ca="1" si="1"/>
        <v>13.75</v>
      </c>
      <c r="J8" s="1">
        <v>2726</v>
      </c>
      <c r="L8" s="8">
        <f>IFERROR(LOOKUP(IF(K8="",G8,K8),{0,1,10,25,100,250,500,1000,2500,5000},{0,0.36,0.262,0.1932,0.138,0.09384,0.0828,0.06486,0.06348,0.0552}),"")</f>
        <v>9.3840000000000007E-2</v>
      </c>
      <c r="M8" s="8">
        <f t="shared" si="2"/>
        <v>23.46</v>
      </c>
      <c r="N8" s="1" t="s">
        <v>292</v>
      </c>
      <c r="O8" s="9" t="s">
        <v>290</v>
      </c>
      <c r="V8" s="1">
        <v>5584</v>
      </c>
      <c r="X8" s="8">
        <f>IFERROR(LOOKUP(IF(W8="",G8,W8),{0,1,10,50,100,500,1000,2000,5000},{0,0.101,0.069,0.062,0.055,0.048,0.045,0.043,0.041}),"")</f>
        <v>5.5E-2</v>
      </c>
      <c r="Y8" s="8">
        <f t="shared" si="3"/>
        <v>13.75</v>
      </c>
      <c r="Z8" s="1" t="s">
        <v>394</v>
      </c>
      <c r="AA8" s="9" t="s">
        <v>290</v>
      </c>
      <c r="AN8" s="1">
        <v>97</v>
      </c>
      <c r="AP8" s="7">
        <v>0.29089999999999999</v>
      </c>
      <c r="AQ8" s="8">
        <f t="shared" ref="AQ8:AQ71" si="4">IFERROR(IF(AO8="",G8,AO8)*AP8,"")</f>
        <v>72.724999999999994</v>
      </c>
    </row>
    <row r="9" spans="1:45" x14ac:dyDescent="0.25">
      <c r="A9" s="1" t="s">
        <v>20</v>
      </c>
      <c r="B9" s="1" t="s">
        <v>24</v>
      </c>
      <c r="D9" s="1" t="s">
        <v>23</v>
      </c>
      <c r="E9" s="1" t="s">
        <v>22</v>
      </c>
      <c r="F9" s="1" t="s">
        <v>21</v>
      </c>
      <c r="G9" s="1">
        <f>BoardQty*1</f>
        <v>250</v>
      </c>
      <c r="H9" s="7">
        <f t="shared" ca="1" si="0"/>
        <v>0.24874199999999999</v>
      </c>
      <c r="I9" s="8">
        <f t="shared" ca="1" si="1"/>
        <v>62.185499999999998</v>
      </c>
      <c r="J9" s="1">
        <v>131424</v>
      </c>
      <c r="L9" s="8">
        <f>IFERROR(LOOKUP(IF(K9="",G9,K9),{0,1,10,25,50,100,250,500,1200,2400,6000,8400,12000,30000,60000},{0,0.46,0.437,0.3744,0.318,0.3056,0.27444,0.26196,0.19845,0.18144,0.1701,0.15876,0.15309,0.15082,0.14742}),"")</f>
        <v>0.27444000000000002</v>
      </c>
      <c r="M9" s="8">
        <f t="shared" si="2"/>
        <v>68.61</v>
      </c>
      <c r="N9" s="1" t="s">
        <v>293</v>
      </c>
      <c r="O9" s="9" t="s">
        <v>290</v>
      </c>
      <c r="R9" s="8">
        <f>IFERROR(LOOKUP(IF(Q9="",G9,Q9),{0,1,10,50,150,250,500,1500,2500,5000},{0,0.410318,0.410318,0.335908,0.261498,0.248742,0.235986,0.211537,0.198781,0.187088}),"")</f>
        <v>0.24874199999999999</v>
      </c>
      <c r="S9" s="8">
        <f>IFERROR(IF(Q9="",G9,Q9)*R9,"")</f>
        <v>62.185499999999998</v>
      </c>
      <c r="T9" s="1" t="s">
        <v>348</v>
      </c>
      <c r="U9" s="9" t="s">
        <v>290</v>
      </c>
      <c r="V9" s="1">
        <v>41401</v>
      </c>
      <c r="X9" s="8">
        <f>IFERROR(LOOKUP(IF(W9="",G9,W9),{0,1,10,100,500,1200},{0,0.421,0.291,0.279,0.24,0.221}),"")</f>
        <v>0.27900000000000003</v>
      </c>
      <c r="Y9" s="8">
        <f t="shared" si="3"/>
        <v>69.75</v>
      </c>
      <c r="Z9" s="1" t="s">
        <v>395</v>
      </c>
      <c r="AA9" s="9" t="s">
        <v>290</v>
      </c>
      <c r="AD9" s="8">
        <f>IFERROR(LOOKUP(IF(AC9="",G9,AC9),{0,1,10,100,500,1000,2500,5000},{0,0.403,0.388,0.273,0.234,0.194,0.178,0.167}),"")</f>
        <v>0.27300000000000002</v>
      </c>
      <c r="AE9" s="8">
        <f>IFERROR(IF(AC9="",G9,AC9)*AD9,"")</f>
        <v>68.25</v>
      </c>
      <c r="AF9" s="1" t="s">
        <v>443</v>
      </c>
      <c r="AG9" s="9" t="s">
        <v>290</v>
      </c>
      <c r="AH9" s="1">
        <v>14</v>
      </c>
      <c r="AJ9" s="8">
        <f>IFERROR(LOOKUP(IF(AI9="",G9,AI9),{0,1,5,10,25,50},{0,25.16121,21.88717,20.80291,18.6025,17.50761}),"")</f>
        <v>17.50761</v>
      </c>
      <c r="AK9" s="8">
        <f>IFERROR(IF(AI9="",G9,AI9)*AJ9,"")</f>
        <v>4376.9025000000001</v>
      </c>
      <c r="AL9" s="1" t="s">
        <v>492</v>
      </c>
      <c r="AM9" s="9" t="s">
        <v>290</v>
      </c>
      <c r="AN9" s="1">
        <v>16544</v>
      </c>
      <c r="AP9" s="7">
        <v>0.2697</v>
      </c>
      <c r="AQ9" s="8">
        <f t="shared" si="4"/>
        <v>67.424999999999997</v>
      </c>
      <c r="AS9" s="9"/>
    </row>
    <row r="10" spans="1:45" x14ac:dyDescent="0.25">
      <c r="A10" s="1" t="s">
        <v>25</v>
      </c>
      <c r="B10" s="1" t="s">
        <v>29</v>
      </c>
      <c r="D10" s="1" t="s">
        <v>28</v>
      </c>
      <c r="E10" s="1" t="s">
        <v>27</v>
      </c>
      <c r="F10" s="1" t="s">
        <v>26</v>
      </c>
      <c r="G10" s="1">
        <f>BoardQty*1</f>
        <v>250</v>
      </c>
      <c r="H10" s="7">
        <f t="shared" ca="1" si="0"/>
        <v>1.2</v>
      </c>
      <c r="I10" s="8">
        <f t="shared" ca="1" si="1"/>
        <v>300</v>
      </c>
      <c r="J10" s="1">
        <v>2688</v>
      </c>
      <c r="L10" s="8">
        <f>IFERROR(LOOKUP(IF(K10="",G10,K10),{0,1,10,25,50,100,350,700,1050,1750,2450,8750},{0,1.86,1.69,1.5864,1.5174,1.4484,1.19131,1.09726,0.9405,0.90915,0.8778,0.8151}),"")</f>
        <v>1.4483999999999999</v>
      </c>
      <c r="M10" s="8">
        <f t="shared" si="2"/>
        <v>362.09999999999997</v>
      </c>
      <c r="N10" s="1" t="s">
        <v>294</v>
      </c>
      <c r="O10" s="9" t="s">
        <v>290</v>
      </c>
      <c r="V10" s="1">
        <v>2680</v>
      </c>
      <c r="X10" s="8">
        <f>IFERROR(LOOKUP(IF(W10="",G10,W10),{0,1,10,25,50,100,250,500,1000,2500},{0,1.69,1.53,1.44,1.39,1.31,1.2,1.09,0.942,0.88}),"")</f>
        <v>1.2</v>
      </c>
      <c r="Y10" s="8">
        <f t="shared" si="3"/>
        <v>300</v>
      </c>
      <c r="Z10" s="1" t="s">
        <v>396</v>
      </c>
      <c r="AA10" s="9" t="s">
        <v>290</v>
      </c>
      <c r="AN10" s="1">
        <v>314</v>
      </c>
      <c r="AP10" s="7">
        <v>1.7663</v>
      </c>
      <c r="AQ10" s="8">
        <f t="shared" si="4"/>
        <v>441.57499999999999</v>
      </c>
    </row>
    <row r="11" spans="1:45" x14ac:dyDescent="0.25">
      <c r="A11" s="1" t="s">
        <v>30</v>
      </c>
      <c r="B11" s="1" t="s">
        <v>34</v>
      </c>
      <c r="D11" s="1" t="s">
        <v>33</v>
      </c>
      <c r="E11" s="1" t="s">
        <v>32</v>
      </c>
      <c r="F11" s="1" t="s">
        <v>31</v>
      </c>
      <c r="G11" s="1">
        <f>BoardQty*6</f>
        <v>1500</v>
      </c>
      <c r="H11" s="7">
        <f t="shared" ca="1" si="0"/>
        <v>0.13</v>
      </c>
      <c r="I11" s="8">
        <f t="shared" ca="1" si="1"/>
        <v>195</v>
      </c>
      <c r="J11" s="1">
        <v>1724</v>
      </c>
      <c r="L11" s="8">
        <f>IFERROR(LOOKUP(IF(K11="",G11,K11),{0,1,10,100,500,1000,3000},{0,0.47,0.383,0.261,0.19578,0.14684,0.13068}),"")</f>
        <v>0.14684</v>
      </c>
      <c r="M11" s="8">
        <f t="shared" si="2"/>
        <v>220.26</v>
      </c>
      <c r="N11" s="1" t="s">
        <v>295</v>
      </c>
      <c r="O11" s="9" t="s">
        <v>290</v>
      </c>
      <c r="V11" s="1">
        <v>5147</v>
      </c>
      <c r="X11" s="8">
        <f>IFERROR(LOOKUP(IF(W11="",G11,W11),{0,1,10,100,1000,2500,6000,24000,48000},{0,0.421,0.32,0.174,0.13,0.112,0.105,0.096,0.093}),"")</f>
        <v>0.13</v>
      </c>
      <c r="Y11" s="8">
        <f t="shared" si="3"/>
        <v>195</v>
      </c>
      <c r="Z11" s="1" t="s">
        <v>397</v>
      </c>
      <c r="AA11" s="9" t="s">
        <v>290</v>
      </c>
      <c r="AH11" s="1">
        <v>550</v>
      </c>
      <c r="AJ11" s="8">
        <f>IFERROR(LOOKUP(IF(AI11="",G11,AI11),{0,1,50,100},{0,0.267876,0.267876,0.23386}),"")</f>
        <v>0.23386000000000001</v>
      </c>
      <c r="AK11" s="8">
        <f>IFERROR(IF(AI11="",G11,AI11)*AJ11,"")</f>
        <v>350.79</v>
      </c>
      <c r="AL11" s="1" t="s">
        <v>493</v>
      </c>
      <c r="AM11" s="9" t="s">
        <v>290</v>
      </c>
      <c r="AN11" s="1">
        <v>1874</v>
      </c>
      <c r="AP11" s="7">
        <v>0.1416</v>
      </c>
      <c r="AQ11" s="8">
        <f t="shared" si="4"/>
        <v>212.4</v>
      </c>
      <c r="AS11" s="9"/>
    </row>
    <row r="12" spans="1:45" x14ac:dyDescent="0.25">
      <c r="A12" s="1" t="s">
        <v>35</v>
      </c>
      <c r="B12" s="1" t="s">
        <v>38</v>
      </c>
      <c r="D12" s="1" t="s">
        <v>13</v>
      </c>
      <c r="E12" s="1" t="s">
        <v>37</v>
      </c>
      <c r="F12" s="1" t="s">
        <v>36</v>
      </c>
      <c r="G12" s="1">
        <f>BoardQty*1</f>
        <v>250</v>
      </c>
      <c r="H12" s="7">
        <f t="shared" ca="1" si="0"/>
        <v>2.2216699999999999E-2</v>
      </c>
      <c r="I12" s="8">
        <f t="shared" ca="1" si="1"/>
        <v>5.5541749999999999</v>
      </c>
      <c r="J12" s="1">
        <v>64988</v>
      </c>
      <c r="L12" s="8">
        <f>IFERROR(LOOKUP(IF(K12="",G12,K12),{0,1,10,100,500,1000,4000,8000,12000,28000,100000},{0,0.11,0.078,0.0368,0.02578,0.02134,0.01691,0.01544,0.0147,0.01397,0.01015}),"")</f>
        <v>3.6799999999999999E-2</v>
      </c>
      <c r="M12" s="8">
        <f t="shared" si="2"/>
        <v>9.1999999999999993</v>
      </c>
      <c r="N12" s="1" t="s">
        <v>296</v>
      </c>
      <c r="O12" s="9" t="s">
        <v>290</v>
      </c>
      <c r="R12" s="8">
        <f>IFERROR(LOOKUP(IF(Q12="",G12,Q12),{0,1,4000,8000},{0,0.0222167,0.0222167,0.0183899}),"")</f>
        <v>2.2216699999999999E-2</v>
      </c>
      <c r="S12" s="8">
        <f t="shared" ref="S12:S19" si="5">IFERROR(IF(Q12="",G12,Q12)*R12,"")</f>
        <v>5.5541749999999999</v>
      </c>
      <c r="T12" s="1" t="s">
        <v>349</v>
      </c>
      <c r="U12" s="9" t="s">
        <v>290</v>
      </c>
      <c r="V12" s="1">
        <v>8215</v>
      </c>
      <c r="X12" s="8">
        <f>IFERROR(LOOKUP(IF(W12="",G12,W12),{0,1,10,100,500,1000,4000,8000,12000},{0,0.11,0.043,0.029,0.024,0.02,0.019,0.016,0.015}),"")</f>
        <v>2.9000000000000001E-2</v>
      </c>
      <c r="Y12" s="8">
        <f t="shared" si="3"/>
        <v>7.25</v>
      </c>
      <c r="Z12" s="1" t="s">
        <v>398</v>
      </c>
      <c r="AA12" s="9" t="s">
        <v>290</v>
      </c>
      <c r="AD12" s="8">
        <f>IFERROR(LOOKUP(IF(AC12="",G12,AC12),{0,1,25,50,100,250,500,1000},{0,0.11,0.042,0.036,0.029,0.027,0.024,0.02}),"")</f>
        <v>2.7E-2</v>
      </c>
      <c r="AE12" s="8">
        <f t="shared" ref="AE12:AE19" si="6">IFERROR(IF(AC12="",G12,AC12)*AD12,"")</f>
        <v>6.75</v>
      </c>
      <c r="AF12" s="1" t="s">
        <v>444</v>
      </c>
      <c r="AG12" s="9" t="s">
        <v>290</v>
      </c>
      <c r="AN12" s="1">
        <v>10134</v>
      </c>
      <c r="AP12" s="7">
        <v>2.8000000000000001E-2</v>
      </c>
      <c r="AQ12" s="8">
        <f t="shared" si="4"/>
        <v>7</v>
      </c>
    </row>
    <row r="13" spans="1:45" x14ac:dyDescent="0.25">
      <c r="A13" s="1" t="s">
        <v>39</v>
      </c>
      <c r="B13" s="1" t="s">
        <v>41</v>
      </c>
      <c r="D13" s="1" t="s">
        <v>13</v>
      </c>
      <c r="E13" s="1" t="s">
        <v>12</v>
      </c>
      <c r="F13" s="1" t="s">
        <v>40</v>
      </c>
      <c r="G13" s="1">
        <f>BoardQty*17</f>
        <v>4250</v>
      </c>
      <c r="H13" s="7">
        <f t="shared" ca="1" si="0"/>
        <v>8.0000000000000002E-3</v>
      </c>
      <c r="I13" s="8">
        <f t="shared" ca="1" si="1"/>
        <v>34</v>
      </c>
      <c r="J13" s="1">
        <v>721714</v>
      </c>
      <c r="L13" s="8">
        <f>IFERROR(LOOKUP(IF(K13="",G13,K13),{0,1,10,100,500,1000,4000,8000,12000},{0,0.1,0.063,0.028,0.01998,0.0157,0.01141,0.01042,0.00992}),"")</f>
        <v>1.141E-2</v>
      </c>
      <c r="M13" s="8">
        <f t="shared" si="2"/>
        <v>48.4925</v>
      </c>
      <c r="N13" s="1" t="s">
        <v>297</v>
      </c>
      <c r="O13" s="9" t="s">
        <v>290</v>
      </c>
      <c r="R13" s="8">
        <f>IFERROR(LOOKUP(IF(Q13="",G13,Q13),{0,1,100,500,1000,2000},{0,0.0247679,0.0247679,0.018071,0.012756,0.0113741}),"")</f>
        <v>1.13741E-2</v>
      </c>
      <c r="S13" s="8">
        <f t="shared" si="5"/>
        <v>48.339925000000001</v>
      </c>
      <c r="T13" s="1" t="s">
        <v>350</v>
      </c>
      <c r="U13" s="9" t="s">
        <v>290</v>
      </c>
      <c r="V13" s="1">
        <v>271062</v>
      </c>
      <c r="X13" s="8">
        <f>IFERROR(LOOKUP(IF(W13="",G13,W13),{0,1,50,100,500,1000,4000,12000,20000},{0,0.101,0.025,0.017,0.015,0.011,0.008,0.007,0.004}),"")</f>
        <v>8.0000000000000002E-3</v>
      </c>
      <c r="Y13" s="8">
        <f t="shared" si="3"/>
        <v>34</v>
      </c>
      <c r="Z13" s="1" t="s">
        <v>399</v>
      </c>
      <c r="AA13" s="9" t="s">
        <v>290</v>
      </c>
      <c r="AD13" s="8">
        <f>IFERROR(LOOKUP(IF(AC13="",G13,AC13),{0,1,25,50,100,250,500,1000},{0,0.1,0.063,0.025,0.017,0.016,0.015,0.011}),"")</f>
        <v>1.0999999999999999E-2</v>
      </c>
      <c r="AE13" s="8">
        <f t="shared" si="6"/>
        <v>46.75</v>
      </c>
      <c r="AF13" s="1" t="s">
        <v>445</v>
      </c>
      <c r="AG13" s="9" t="s">
        <v>290</v>
      </c>
      <c r="AH13" s="1">
        <v>10400</v>
      </c>
      <c r="AJ13" s="8">
        <f>IFERROR(LOOKUP(IF(AI13="",G13,AI13),{0,1,50,500},{0,0.024449,0.024449,0.014882}),"")</f>
        <v>1.4881999999999999E-2</v>
      </c>
      <c r="AK13" s="8">
        <f>IFERROR(IF(AI13="",G13,AI13)*AJ13,"")</f>
        <v>63.2485</v>
      </c>
      <c r="AL13" s="1" t="s">
        <v>494</v>
      </c>
      <c r="AM13" s="9" t="s">
        <v>290</v>
      </c>
      <c r="AN13" s="1">
        <v>9832</v>
      </c>
      <c r="AP13" s="7">
        <v>1.66E-2</v>
      </c>
      <c r="AQ13" s="8">
        <f t="shared" si="4"/>
        <v>70.55</v>
      </c>
      <c r="AS13" s="9"/>
    </row>
    <row r="14" spans="1:45" x14ac:dyDescent="0.25">
      <c r="A14" s="1" t="s">
        <v>42</v>
      </c>
      <c r="B14" s="1" t="s">
        <v>43</v>
      </c>
      <c r="D14" s="1" t="s">
        <v>45</v>
      </c>
      <c r="E14" s="1" t="s">
        <v>44</v>
      </c>
      <c r="F14" s="1" t="s">
        <v>43</v>
      </c>
      <c r="G14" s="1">
        <f>BoardQty*1</f>
        <v>250</v>
      </c>
      <c r="H14" s="7">
        <f t="shared" ca="1" si="0"/>
        <v>1.42</v>
      </c>
      <c r="I14" s="8">
        <f t="shared" ca="1" si="1"/>
        <v>355</v>
      </c>
      <c r="J14" s="1">
        <v>11368</v>
      </c>
      <c r="L14" s="8">
        <f>IFERROR(LOOKUP(IF(K14="",G14,K14),{0,1,10,100,250,500,1000,1250,2500},{0,2.48,2.23,1.7922,1.598,1.34566,1.11497,1.0892,0.9954}),"")</f>
        <v>1.5980000000000001</v>
      </c>
      <c r="M14" s="8">
        <f t="shared" si="2"/>
        <v>399.5</v>
      </c>
      <c r="N14" s="1" t="s">
        <v>298</v>
      </c>
      <c r="O14" s="9" t="s">
        <v>290</v>
      </c>
      <c r="R14" s="8">
        <f>IFERROR(LOOKUP(IF(Q14="",G14,Q14),{0,1,10,25,50,100},{0,2.82758,2.82758,2.61498,2.52994,1.98781}),"")</f>
        <v>1.9878100000000001</v>
      </c>
      <c r="S14" s="8">
        <f t="shared" si="5"/>
        <v>496.95250000000004</v>
      </c>
      <c r="T14" s="1" t="s">
        <v>351</v>
      </c>
      <c r="U14" s="9" t="s">
        <v>290</v>
      </c>
      <c r="V14" s="1">
        <v>5491</v>
      </c>
      <c r="X14" s="8">
        <f>IFERROR(LOOKUP(IF(W14="",G14,W14),{0,1,10,25,100,250,500,1000,2500},{0,2.09,1.88,1.79,1.51,1.42,1.24,0.926,0.926}),"")</f>
        <v>1.42</v>
      </c>
      <c r="Y14" s="8">
        <f t="shared" si="3"/>
        <v>355</v>
      </c>
      <c r="Z14" s="1" t="s">
        <v>400</v>
      </c>
      <c r="AA14" s="9" t="s">
        <v>290</v>
      </c>
      <c r="AD14" s="8">
        <f>IFERROR(LOOKUP(IF(AC14="",G14,AC14),{0,1,10,25,100,250,500},{0,2.32,2.08,1.98,1.67,1.57,1.38}),"")</f>
        <v>1.57</v>
      </c>
      <c r="AE14" s="8">
        <f t="shared" si="6"/>
        <v>392.5</v>
      </c>
      <c r="AF14" s="1" t="s">
        <v>446</v>
      </c>
      <c r="AG14" s="9" t="s">
        <v>290</v>
      </c>
      <c r="AH14" s="1">
        <v>35</v>
      </c>
      <c r="AJ14" s="8">
        <f>IFERROR(LOOKUP(IF(AI14="",G14,AI14),{0,1,5,25},{0,2.204662,2.204662,1.826234}),"")</f>
        <v>1.8262339999999999</v>
      </c>
      <c r="AK14" s="8">
        <f>IFERROR(IF(AI14="",G14,AI14)*AJ14,"")</f>
        <v>456.55849999999998</v>
      </c>
      <c r="AL14" s="1" t="s">
        <v>495</v>
      </c>
      <c r="AM14" s="9" t="s">
        <v>290</v>
      </c>
      <c r="AN14" s="1">
        <v>180</v>
      </c>
      <c r="AP14" s="7">
        <v>1.6362000000000001</v>
      </c>
      <c r="AQ14" s="8">
        <f t="shared" si="4"/>
        <v>409.05</v>
      </c>
      <c r="AS14" s="9"/>
    </row>
    <row r="15" spans="1:45" x14ac:dyDescent="0.25">
      <c r="A15" s="1" t="s">
        <v>46</v>
      </c>
      <c r="B15" s="1" t="s">
        <v>49</v>
      </c>
      <c r="D15" s="1" t="s">
        <v>18</v>
      </c>
      <c r="E15" s="1" t="s">
        <v>48</v>
      </c>
      <c r="F15" s="1" t="s">
        <v>47</v>
      </c>
      <c r="G15" s="1">
        <f>BoardQty*1</f>
        <v>250</v>
      </c>
      <c r="H15" s="7">
        <f t="shared" ca="1" si="0"/>
        <v>5.6339E-2</v>
      </c>
      <c r="I15" s="8">
        <f t="shared" ca="1" si="1"/>
        <v>14.08475</v>
      </c>
      <c r="R15" s="8">
        <f>IFERROR(LOOKUP(IF(Q15="",G15,Q15),{0,1,10,100,500,1000,2500,5000,20000,50000},{0,0.076536,0.076536,0.056339,0.054213,0.052087,0.04252,0.037205,0.032953,0.029764}),"")</f>
        <v>5.6339E-2</v>
      </c>
      <c r="S15" s="8">
        <f t="shared" si="5"/>
        <v>14.08475</v>
      </c>
      <c r="T15" s="1" t="s">
        <v>352</v>
      </c>
      <c r="U15" s="9" t="s">
        <v>290</v>
      </c>
      <c r="AD15" s="8">
        <f>IFERROR(LOOKUP(IF(AC15="",G15,AC15),{0,1,10,100,1000},{0,0.263,0.217,0.082,0.056}),"")</f>
        <v>8.2000000000000003E-2</v>
      </c>
      <c r="AE15" s="8">
        <f t="shared" si="6"/>
        <v>20.5</v>
      </c>
      <c r="AF15" s="1" t="s">
        <v>447</v>
      </c>
      <c r="AG15" s="9" t="s">
        <v>290</v>
      </c>
      <c r="AP15" s="7"/>
      <c r="AQ15" s="8">
        <f t="shared" si="4"/>
        <v>0</v>
      </c>
    </row>
    <row r="16" spans="1:45" x14ac:dyDescent="0.25">
      <c r="A16" s="1" t="s">
        <v>50</v>
      </c>
      <c r="B16" s="1" t="s">
        <v>54</v>
      </c>
      <c r="D16" s="1" t="s">
        <v>53</v>
      </c>
      <c r="E16" s="1" t="s">
        <v>52</v>
      </c>
      <c r="F16" s="1" t="s">
        <v>51</v>
      </c>
      <c r="G16" s="1">
        <f>BoardQty*2</f>
        <v>500</v>
      </c>
      <c r="H16" s="7">
        <f t="shared" ca="1" si="0"/>
        <v>4.0000000000000001E-3</v>
      </c>
      <c r="I16" s="8">
        <f t="shared" ca="1" si="1"/>
        <v>2</v>
      </c>
      <c r="J16" s="1">
        <v>832155</v>
      </c>
      <c r="L16" s="8">
        <f>IFERROR(LOOKUP(IF(K16="",G16,K16),{0,1,10,100,1000,2500,5000,10000,25000,50000,125000},{0,0.1,0.019,0.0076,0.00341,0.00296,0.00245,0.00213,0.00187,0.00171,0.00168}),"")</f>
        <v>7.6E-3</v>
      </c>
      <c r="M16" s="8">
        <f>IFERROR(IF(K16="",G16,K16)*L16,"")</f>
        <v>3.8</v>
      </c>
      <c r="N16" s="1" t="s">
        <v>299</v>
      </c>
      <c r="O16" s="9" t="s">
        <v>290</v>
      </c>
      <c r="R16" s="8">
        <f>IFERROR(LOOKUP(IF(Q16="",G16,Q16),{0,1,100,500,1000,2500},{0,0.0111615,0.0111615,0.0083977,0.0066969,0.0055276}),"")</f>
        <v>8.3976999999999993E-3</v>
      </c>
      <c r="S16" s="8">
        <f t="shared" si="5"/>
        <v>4.1988499999999993</v>
      </c>
      <c r="T16" s="1" t="s">
        <v>353</v>
      </c>
      <c r="U16" s="9" t="s">
        <v>290</v>
      </c>
      <c r="V16" s="1">
        <v>23511</v>
      </c>
      <c r="X16" s="8">
        <f>IFERROR(LOOKUP(IF(W16="",G16,W16),{0,1,10,100,1000,5000,10000},{0,0.101,0.013,0.004,0.003,0.003,0.002}),"")</f>
        <v>4.0000000000000001E-3</v>
      </c>
      <c r="Y16" s="8">
        <f>IFERROR(IF(W16="",G16,W16)*X16,"")</f>
        <v>2</v>
      </c>
      <c r="Z16" s="1" t="s">
        <v>401</v>
      </c>
      <c r="AA16" s="9" t="s">
        <v>290</v>
      </c>
      <c r="AD16" s="8">
        <f>IFERROR(LOOKUP(IF(AC16="",G16,AC16),{0,1,10,25,100,250,500,1000},{0,0.1,0.018,0.012,0.007,0.005,0.004,0.003}),"")</f>
        <v>4.0000000000000001E-3</v>
      </c>
      <c r="AE16" s="8">
        <f t="shared" si="6"/>
        <v>2</v>
      </c>
      <c r="AF16" s="1" t="s">
        <v>448</v>
      </c>
      <c r="AG16" s="9" t="s">
        <v>290</v>
      </c>
      <c r="AH16" s="1">
        <v>11</v>
      </c>
      <c r="AJ16" s="8">
        <f>IFERROR(LOOKUP(IF(AI16="",G16,AI16),{0,1,2,3,4,5},{0,14.92452,6.01658,5.8465,5.6339,5.48508}),"")</f>
        <v>5.48508</v>
      </c>
      <c r="AK16" s="8">
        <f>IFERROR(IF(AI16="",G16,AI16)*AJ16,"")</f>
        <v>2742.54</v>
      </c>
      <c r="AL16" s="1" t="s">
        <v>496</v>
      </c>
      <c r="AM16" s="9" t="s">
        <v>290</v>
      </c>
      <c r="AN16" s="1">
        <v>2110</v>
      </c>
      <c r="AP16" s="7">
        <v>7.0000000000000001E-3</v>
      </c>
      <c r="AQ16" s="8">
        <f t="shared" si="4"/>
        <v>3.5</v>
      </c>
      <c r="AS16" s="9"/>
    </row>
    <row r="17" spans="1:45" x14ac:dyDescent="0.25">
      <c r="A17" s="1" t="s">
        <v>55</v>
      </c>
      <c r="B17" s="1" t="s">
        <v>57</v>
      </c>
      <c r="D17" s="1" t="s">
        <v>53</v>
      </c>
      <c r="E17" s="1" t="s">
        <v>52</v>
      </c>
      <c r="F17" s="1" t="s">
        <v>56</v>
      </c>
      <c r="G17" s="1">
        <f>BoardQty*1</f>
        <v>250</v>
      </c>
      <c r="H17" s="7">
        <f t="shared" ca="1" si="0"/>
        <v>4.0000000000000001E-3</v>
      </c>
      <c r="I17" s="8">
        <f t="shared" ca="1" si="1"/>
        <v>1</v>
      </c>
      <c r="J17" s="1">
        <v>142553</v>
      </c>
      <c r="L17" s="8">
        <f>IFERROR(LOOKUP(IF(K17="",G17,K17),{0,1,10,100,1000,2500,5000,10000,25000,50000,125000},{0,0.1,0.019,0.0076,0.00341,0.00296,0.00245,0.00213,0.00187,0.00171,0.00168}),"")</f>
        <v>7.6E-3</v>
      </c>
      <c r="M17" s="8">
        <f>IFERROR(IF(K17="",G17,K17)*L17,"")</f>
        <v>1.9</v>
      </c>
      <c r="N17" s="1" t="s">
        <v>300</v>
      </c>
      <c r="O17" s="9" t="s">
        <v>290</v>
      </c>
      <c r="R17" s="8">
        <f>IFERROR(LOOKUP(IF(Q17="",G17,Q17),{0,1,100,500,1000,2500},{0,0.0111615,0.0111615,0.0083977,0.0066969,0.0056339}),"")</f>
        <v>1.11615E-2</v>
      </c>
      <c r="S17" s="8">
        <f t="shared" si="5"/>
        <v>2.790375</v>
      </c>
      <c r="T17" s="1" t="s">
        <v>354</v>
      </c>
      <c r="U17" s="9" t="s">
        <v>290</v>
      </c>
      <c r="V17" s="1">
        <v>13679</v>
      </c>
      <c r="X17" s="8">
        <f>IFERROR(LOOKUP(IF(W17="",G17,W17),{0,1,10,100,1000,5000,10000},{0,0.101,0.013,0.004,0.003,0.003,0.002}),"")</f>
        <v>4.0000000000000001E-3</v>
      </c>
      <c r="Y17" s="8">
        <f>IFERROR(IF(W17="",G17,W17)*X17,"")</f>
        <v>1</v>
      </c>
      <c r="Z17" s="1" t="s">
        <v>402</v>
      </c>
      <c r="AA17" s="9" t="s">
        <v>290</v>
      </c>
      <c r="AD17" s="8">
        <f>IFERROR(LOOKUP(IF(AC17="",G17,AC17),{0,1,10,25,100,250,1000},{0,0.017,0.017,0.016,0.01,0.007,0.005}),"")</f>
        <v>7.0000000000000001E-3</v>
      </c>
      <c r="AE17" s="8">
        <f t="shared" si="6"/>
        <v>1.75</v>
      </c>
      <c r="AF17" s="1" t="s">
        <v>449</v>
      </c>
      <c r="AG17" s="9" t="s">
        <v>290</v>
      </c>
      <c r="AN17" s="1">
        <v>10000</v>
      </c>
      <c r="AP17" s="7">
        <v>7.1999999999999998E-3</v>
      </c>
      <c r="AQ17" s="8">
        <f t="shared" si="4"/>
        <v>1.8</v>
      </c>
    </row>
    <row r="18" spans="1:45" x14ac:dyDescent="0.25">
      <c r="A18" s="1" t="s">
        <v>58</v>
      </c>
      <c r="B18" s="1" t="s">
        <v>60</v>
      </c>
      <c r="D18" s="1" t="s">
        <v>33</v>
      </c>
      <c r="E18" s="1" t="s">
        <v>44</v>
      </c>
      <c r="F18" s="1" t="s">
        <v>59</v>
      </c>
      <c r="G18" s="1">
        <f>BoardQty*1</f>
        <v>250</v>
      </c>
      <c r="H18" s="7">
        <f t="shared" ca="1" si="0"/>
        <v>0.408192</v>
      </c>
      <c r="I18" s="8">
        <f t="shared" ca="1" si="1"/>
        <v>102.048</v>
      </c>
      <c r="J18" s="1">
        <v>6749</v>
      </c>
      <c r="L18" s="8">
        <f>IFERROR(LOOKUP(IF(K18="",G18,K18),{0,1,10,100,500,1000,2000,3000,5000,6000,15000},{0,0.8,0.7,0.5368,0.42436,0.33949,0.2987,0.2987,0.2781,0.2781,0.2678}),"")</f>
        <v>0.53680000000000005</v>
      </c>
      <c r="M18" s="8">
        <f>IFERROR(IF(K18="",G18,K18)*L18,"")</f>
        <v>134.20000000000002</v>
      </c>
      <c r="N18" s="1" t="s">
        <v>301</v>
      </c>
      <c r="O18" s="9" t="s">
        <v>290</v>
      </c>
      <c r="R18" s="8">
        <f>IFERROR(LOOKUP(IF(Q18="",G18,Q18),{0,1,100,250,500},{0,0.413507,0.413507,0.408192,0.401814}),"")</f>
        <v>0.408192</v>
      </c>
      <c r="S18" s="8">
        <f t="shared" si="5"/>
        <v>102.048</v>
      </c>
      <c r="T18" s="1" t="s">
        <v>355</v>
      </c>
      <c r="U18" s="9" t="s">
        <v>290</v>
      </c>
      <c r="V18" s="1">
        <v>981</v>
      </c>
      <c r="X18" s="8">
        <f>IFERROR(LOOKUP(IF(W18="",G18,W18),{0,1,10,100,1000,2000,5000,10000,25000},{0,0.762,0.641,0.413,0.33,0.3,0.279,0.269,0.268}),"")</f>
        <v>0.41299999999999998</v>
      </c>
      <c r="Y18" s="8">
        <f>IFERROR(IF(W18="",G18,W18)*X18,"")</f>
        <v>103.25</v>
      </c>
      <c r="Z18" s="1" t="s">
        <v>403</v>
      </c>
      <c r="AA18" s="9" t="s">
        <v>290</v>
      </c>
      <c r="AD18" s="8">
        <f>IFERROR(LOOKUP(IF(AC18="",G18,AC18),{0,1,10,100},{0,0.765,0.639,0.412}),"")</f>
        <v>0.41199999999999998</v>
      </c>
      <c r="AE18" s="8">
        <f t="shared" si="6"/>
        <v>103</v>
      </c>
      <c r="AF18" s="1" t="s">
        <v>450</v>
      </c>
      <c r="AG18" s="9" t="s">
        <v>290</v>
      </c>
      <c r="AH18" s="1">
        <v>180</v>
      </c>
      <c r="AJ18" s="8">
        <f>IFERROR(LOOKUP(IF(AI18="",G18,AI18),{0,1,5,25},{0,0.73347,0.73347,0.61654}),"")</f>
        <v>0.61653999999999998</v>
      </c>
      <c r="AK18" s="8">
        <f>IFERROR(IF(AI18="",G18,AI18)*AJ18,"")</f>
        <v>154.13499999999999</v>
      </c>
      <c r="AL18" s="1" t="s">
        <v>497</v>
      </c>
      <c r="AM18" s="9" t="s">
        <v>290</v>
      </c>
      <c r="AN18" s="1">
        <v>2923</v>
      </c>
      <c r="AP18" s="7">
        <v>0.4345</v>
      </c>
      <c r="AQ18" s="8">
        <f t="shared" si="4"/>
        <v>108.625</v>
      </c>
      <c r="AS18" s="9"/>
    </row>
    <row r="19" spans="1:45" x14ac:dyDescent="0.25">
      <c r="A19" s="1" t="s">
        <v>61</v>
      </c>
      <c r="B19" s="1" t="s">
        <v>64</v>
      </c>
      <c r="D19" s="1" t="s">
        <v>53</v>
      </c>
      <c r="E19" s="1" t="s">
        <v>63</v>
      </c>
      <c r="F19" s="1" t="s">
        <v>62</v>
      </c>
      <c r="G19" s="1">
        <f>BoardQty*1</f>
        <v>250</v>
      </c>
      <c r="H19" s="7">
        <f t="shared" ca="1" si="0"/>
        <v>1.8700000000000001E-2</v>
      </c>
      <c r="I19" s="8">
        <f t="shared" ca="1" si="1"/>
        <v>4.6750000000000007</v>
      </c>
      <c r="J19" s="1">
        <v>4590</v>
      </c>
      <c r="L19" s="8">
        <f>IFERROR(LOOKUP(IF(K19="",G19,K19),{0,1,10,100,1000,2500,5000,10000,20000,25000,30000,50000,100000,125000},{0,0.1,0.046,0.0187,0.00838,0.00727,0.00546,0.00474,0.00474,0.00417,0.00417,0.00382,0.00375,0.00375}),"")</f>
        <v>1.8700000000000001E-2</v>
      </c>
      <c r="M19" s="8">
        <f>IFERROR(IF(K19="",G19,K19)*L19,"")</f>
        <v>4.6750000000000007</v>
      </c>
      <c r="N19" s="1" t="s">
        <v>302</v>
      </c>
      <c r="O19" s="9" t="s">
        <v>290</v>
      </c>
      <c r="R19" s="8">
        <f>IFERROR(LOOKUP(IF(Q19="",G19,Q19),{0,1,100,500,1000,2500},{0,0.0237049,0.0237049,0.0198781,0.0091418,0.0068032}),"")</f>
        <v>2.3704900000000001E-2</v>
      </c>
      <c r="S19" s="8">
        <f t="shared" si="5"/>
        <v>5.9262250000000005</v>
      </c>
      <c r="T19" s="1" t="s">
        <v>356</v>
      </c>
      <c r="U19" s="9" t="s">
        <v>290</v>
      </c>
      <c r="V19" s="1">
        <v>4286</v>
      </c>
      <c r="X19" s="8">
        <f>IFERROR(LOOKUP(IF(W19="",G19,W19),{0,1,10,100,1000,5000,10000,25000,50000},{0,0.101,0.049,0.028,0.019,0.008,0.007,0.006,0.004}),"")</f>
        <v>2.8000000000000001E-2</v>
      </c>
      <c r="Y19" s="8">
        <f>IFERROR(IF(W19="",G19,W19)*X19,"")</f>
        <v>7</v>
      </c>
      <c r="Z19" s="1" t="s">
        <v>404</v>
      </c>
      <c r="AA19" s="9" t="s">
        <v>290</v>
      </c>
      <c r="AD19" s="8">
        <f>IFERROR(LOOKUP(IF(AC19="",G19,AC19),{0,1,15000},{0,0.019,0.019}),"")</f>
        <v>1.9E-2</v>
      </c>
      <c r="AE19" s="8">
        <f t="shared" si="6"/>
        <v>4.75</v>
      </c>
      <c r="AF19" s="1" t="s">
        <v>451</v>
      </c>
      <c r="AG19" s="9" t="s">
        <v>290</v>
      </c>
      <c r="AL19" s="1" t="s">
        <v>498</v>
      </c>
      <c r="AM19" s="9" t="s">
        <v>290</v>
      </c>
      <c r="AN19" s="1">
        <v>22</v>
      </c>
      <c r="AP19" s="7">
        <v>8.1299999999999997E-2</v>
      </c>
      <c r="AQ19" s="8">
        <f t="shared" si="4"/>
        <v>20.324999999999999</v>
      </c>
      <c r="AS19" s="9"/>
    </row>
    <row r="20" spans="1:45" x14ac:dyDescent="0.25">
      <c r="A20" s="1" t="s">
        <v>65</v>
      </c>
      <c r="B20" s="1" t="s">
        <v>67</v>
      </c>
      <c r="D20" s="1" t="s">
        <v>66</v>
      </c>
      <c r="G20" s="1">
        <f>BoardQty*1</f>
        <v>250</v>
      </c>
      <c r="H20" s="7">
        <f t="shared" ca="1" si="0"/>
        <v>0</v>
      </c>
      <c r="I20" s="8">
        <f t="shared" ca="1" si="1"/>
        <v>0</v>
      </c>
      <c r="AP20" s="7"/>
      <c r="AQ20" s="8">
        <f t="shared" si="4"/>
        <v>0</v>
      </c>
    </row>
    <row r="21" spans="1:45" x14ac:dyDescent="0.25">
      <c r="A21" s="1" t="s">
        <v>68</v>
      </c>
      <c r="B21" s="1" t="s">
        <v>72</v>
      </c>
      <c r="D21" s="1" t="s">
        <v>71</v>
      </c>
      <c r="E21" s="1" t="s">
        <v>70</v>
      </c>
      <c r="F21" s="1" t="s">
        <v>69</v>
      </c>
      <c r="G21" s="1">
        <f>BoardQty*1</f>
        <v>250</v>
      </c>
      <c r="H21" s="7">
        <f t="shared" ca="1" si="0"/>
        <v>0.46346799999999999</v>
      </c>
      <c r="I21" s="8">
        <f t="shared" ca="1" si="1"/>
        <v>115.867</v>
      </c>
      <c r="J21" s="1">
        <v>25136</v>
      </c>
      <c r="L21" s="8">
        <f>IFERROR(LOOKUP(IF(K21="",G21,K21),{0,1,10,100,500,1000,2000,5000,10000,25000},{0,1.06,0.81,0.5792,0.4484,0.33575,0.31409,0.29785,0.28702,0.28057}),"")</f>
        <v>0.57920000000000005</v>
      </c>
      <c r="M21" s="8">
        <f>IFERROR(IF(K21="",G21,K21)*L21,"")</f>
        <v>144.80000000000001</v>
      </c>
      <c r="N21" s="1" t="s">
        <v>303</v>
      </c>
      <c r="O21" s="9" t="s">
        <v>290</v>
      </c>
      <c r="R21" s="8">
        <f>IFERROR(LOOKUP(IF(Q21="",G21,Q21),{0,1,50,100,250,500,1000,5000,10000},{0,1.09489,0.621855,0.533626,0.466657,0.41457,0.302955,0.288073,0.271065}),"")</f>
        <v>0.46665699999999999</v>
      </c>
      <c r="S21" s="8">
        <f>IFERROR(IF(Q21="",G21,Q21)*R21,"")</f>
        <v>116.66425</v>
      </c>
      <c r="T21" s="1" t="s">
        <v>357</v>
      </c>
      <c r="U21" s="9" t="s">
        <v>290</v>
      </c>
      <c r="V21" s="1">
        <v>512</v>
      </c>
      <c r="X21" s="8">
        <f>IFERROR(LOOKUP(IF(W21="",G21,W21),{0,1,10,100,500,1000,2000,5000,10000},{0,1.07,0.812,0.581,0.45,0.337,0.316,0.299,0.292}),"")</f>
        <v>0.58099999999999996</v>
      </c>
      <c r="Y21" s="8">
        <f>IFERROR(IF(W21="",G21,W21)*X21,"")</f>
        <v>145.25</v>
      </c>
      <c r="Z21" s="1" t="s">
        <v>405</v>
      </c>
      <c r="AA21" s="9" t="s">
        <v>290</v>
      </c>
      <c r="AD21" s="8">
        <f>IFERROR(LOOKUP(IF(AC21="",G21,AC21),{0,1,10,25,50,100,250,500},{0,1.26,0.852,0.792,0.733,0.673,0.651,0.628}),"")</f>
        <v>0.65100000000000002</v>
      </c>
      <c r="AE21" s="8">
        <f>IFERROR(IF(AC21="",G21,AC21)*AD21,"")</f>
        <v>162.75</v>
      </c>
      <c r="AF21" s="1" t="s">
        <v>452</v>
      </c>
      <c r="AG21" s="9" t="s">
        <v>290</v>
      </c>
      <c r="AH21" s="1">
        <v>240</v>
      </c>
      <c r="AJ21" s="8">
        <f>IFERROR(LOOKUP(IF(AI21="",G21,AI21),{0,1,5,50},{0,0.486854,0.486854,0.463468}),"")</f>
        <v>0.46346799999999999</v>
      </c>
      <c r="AK21" s="8">
        <f>IFERROR(IF(AI21="",G21,AI21)*AJ21,"")</f>
        <v>115.867</v>
      </c>
      <c r="AL21" s="1" t="s">
        <v>499</v>
      </c>
      <c r="AM21" s="9" t="s">
        <v>290</v>
      </c>
      <c r="AN21" s="1">
        <v>220</v>
      </c>
      <c r="AP21" s="7">
        <v>0.50480000000000003</v>
      </c>
      <c r="AQ21" s="8">
        <f t="shared" si="4"/>
        <v>126.2</v>
      </c>
      <c r="AS21" s="9"/>
    </row>
    <row r="22" spans="1:45" x14ac:dyDescent="0.25">
      <c r="A22" s="1" t="s">
        <v>73</v>
      </c>
      <c r="B22" s="1" t="s">
        <v>77</v>
      </c>
      <c r="D22" s="1" t="s">
        <v>76</v>
      </c>
      <c r="E22" s="1" t="s">
        <v>75</v>
      </c>
      <c r="F22" s="1" t="s">
        <v>74</v>
      </c>
      <c r="G22" s="1">
        <f>BoardQty*6</f>
        <v>1500</v>
      </c>
      <c r="H22" s="7">
        <f t="shared" ca="1" si="0"/>
        <v>1.01</v>
      </c>
      <c r="I22" s="8">
        <f t="shared" ca="1" si="1"/>
        <v>1515</v>
      </c>
      <c r="J22" s="1">
        <v>105</v>
      </c>
      <c r="L22" s="8">
        <f>IFERROR(LOOKUP(IF(K22="",G22,K22),{0,1,25,100,250,500,2500},{0,2.19,1.9596,1.212,1.111,1.01,1.01}),"")</f>
        <v>1.01</v>
      </c>
      <c r="M22" s="8">
        <f>IFERROR(IF(K22="",G22,K22)*L22,"")</f>
        <v>1515</v>
      </c>
      <c r="N22" s="1" t="s">
        <v>304</v>
      </c>
      <c r="O22" s="9" t="s">
        <v>290</v>
      </c>
      <c r="AD22" s="8">
        <f>IFERROR(LOOKUP(IF(AC22="",G22,AC22),{0,1,2500},{0,1.41,1.41}),"")</f>
        <v>1.41</v>
      </c>
      <c r="AE22" s="8">
        <f>IFERROR(IF(AC22="",G22,AC22)*AD22,"")</f>
        <v>2115</v>
      </c>
      <c r="AF22" s="1" t="s">
        <v>453</v>
      </c>
      <c r="AG22" s="9" t="s">
        <v>290</v>
      </c>
      <c r="AN22" s="1" t="s">
        <v>542</v>
      </c>
      <c r="AP22" s="7">
        <v>1.01</v>
      </c>
      <c r="AQ22" s="8">
        <f t="shared" si="4"/>
        <v>1515</v>
      </c>
    </row>
    <row r="23" spans="1:45" x14ac:dyDescent="0.25">
      <c r="A23" s="1" t="s">
        <v>78</v>
      </c>
      <c r="B23" s="1" t="s">
        <v>79</v>
      </c>
      <c r="D23" s="1" t="s">
        <v>81</v>
      </c>
      <c r="E23" s="1" t="s">
        <v>80</v>
      </c>
      <c r="F23" s="1" t="s">
        <v>79</v>
      </c>
      <c r="G23" s="1">
        <f>BoardQty*1</f>
        <v>250</v>
      </c>
      <c r="H23" s="7">
        <f t="shared" ca="1" si="0"/>
        <v>0.43269999999999997</v>
      </c>
      <c r="I23" s="8">
        <f t="shared" ca="1" si="1"/>
        <v>108.175</v>
      </c>
      <c r="Z23" s="1" t="s">
        <v>406</v>
      </c>
      <c r="AA23" s="9" t="s">
        <v>290</v>
      </c>
      <c r="AN23" s="1" t="s">
        <v>542</v>
      </c>
      <c r="AP23" s="7">
        <v>0.43269999999999997</v>
      </c>
      <c r="AQ23" s="8">
        <f t="shared" si="4"/>
        <v>108.175</v>
      </c>
    </row>
    <row r="24" spans="1:45" x14ac:dyDescent="0.25">
      <c r="A24" s="1" t="s">
        <v>82</v>
      </c>
      <c r="B24" s="1" t="s">
        <v>83</v>
      </c>
      <c r="D24" s="1" t="s">
        <v>18</v>
      </c>
      <c r="E24" s="1" t="s">
        <v>17</v>
      </c>
      <c r="F24" s="1" t="s">
        <v>16</v>
      </c>
      <c r="G24" s="1">
        <f>BoardQty*1</f>
        <v>250</v>
      </c>
      <c r="H24" s="7">
        <f t="shared" ca="1" si="0"/>
        <v>5.5E-2</v>
      </c>
      <c r="I24" s="8">
        <f t="shared" ca="1" si="1"/>
        <v>13.75</v>
      </c>
      <c r="J24" s="1">
        <v>2726</v>
      </c>
      <c r="L24" s="8">
        <f>IFERROR(LOOKUP(IF(K24="",G24,K24),{0,1,10,25,100,250,500,1000,2500,5000},{0,0.36,0.262,0.1932,0.138,0.09384,0.0828,0.06486,0.06348,0.0552}),"")</f>
        <v>9.3840000000000007E-2</v>
      </c>
      <c r="M24" s="8">
        <f t="shared" ref="M24:M30" si="7">IFERROR(IF(K24="",G24,K24)*L24,"")</f>
        <v>23.46</v>
      </c>
      <c r="N24" s="1" t="s">
        <v>292</v>
      </c>
      <c r="O24" s="9" t="s">
        <v>290</v>
      </c>
      <c r="V24" s="1">
        <v>5584</v>
      </c>
      <c r="X24" s="8">
        <f>IFERROR(LOOKUP(IF(W24="",G24,W24),{0,1,10,50,100,500,1000,2000,5000},{0,0.101,0.069,0.062,0.055,0.048,0.045,0.043,0.041}),"")</f>
        <v>5.5E-2</v>
      </c>
      <c r="Y24" s="8">
        <f t="shared" ref="Y24:Y35" si="8">IFERROR(IF(W24="",G24,W24)*X24,"")</f>
        <v>13.75</v>
      </c>
      <c r="Z24" s="1" t="s">
        <v>394</v>
      </c>
      <c r="AA24" s="9" t="s">
        <v>290</v>
      </c>
      <c r="AN24" s="1">
        <v>97</v>
      </c>
      <c r="AP24" s="7">
        <v>0.29089999999999999</v>
      </c>
      <c r="AQ24" s="8">
        <f t="shared" si="4"/>
        <v>72.724999999999994</v>
      </c>
    </row>
    <row r="25" spans="1:45" x14ac:dyDescent="0.25">
      <c r="A25" s="1" t="s">
        <v>84</v>
      </c>
      <c r="B25" s="1" t="s">
        <v>86</v>
      </c>
      <c r="D25" s="1" t="s">
        <v>53</v>
      </c>
      <c r="E25" s="1" t="s">
        <v>70</v>
      </c>
      <c r="F25" s="1" t="s">
        <v>85</v>
      </c>
      <c r="G25" s="1">
        <f>BoardQty*1</f>
        <v>250</v>
      </c>
      <c r="H25" s="7">
        <f t="shared" ca="1" si="0"/>
        <v>8.0000000000000002E-3</v>
      </c>
      <c r="I25" s="8">
        <f t="shared" ca="1" si="1"/>
        <v>2</v>
      </c>
      <c r="J25" s="1">
        <v>62502</v>
      </c>
      <c r="L25" s="8">
        <f>IFERROR(LOOKUP(IF(K25="",G25,K25),{0,1,10,100,1000,2500,5000,10000,25000,50000,125000},{0,0.1,0.041,0.0167,0.00749,0.0065,0.00537,0.00466,0.0041,0.00376,0.00368}),"")</f>
        <v>1.67E-2</v>
      </c>
      <c r="M25" s="8">
        <f t="shared" si="7"/>
        <v>4.1749999999999998</v>
      </c>
      <c r="N25" s="1" t="s">
        <v>305</v>
      </c>
      <c r="O25" s="9" t="s">
        <v>290</v>
      </c>
      <c r="R25" s="8">
        <f>IFERROR(LOOKUP(IF(Q25="",G25,Q25),{0,1,100,500,1000,2500},{0,0.0139253,0.0139253,0.0130749,0.0089292,0.007441}),"")</f>
        <v>1.39253E-2</v>
      </c>
      <c r="S25" s="8">
        <f>IFERROR(IF(Q25="",G25,Q25)*R25,"")</f>
        <v>3.481325</v>
      </c>
      <c r="T25" s="1" t="s">
        <v>358</v>
      </c>
      <c r="U25" s="9" t="s">
        <v>290</v>
      </c>
      <c r="V25" s="1">
        <v>11856</v>
      </c>
      <c r="X25" s="8">
        <f>IFERROR(LOOKUP(IF(W25="",G25,W25),{0,1,10,100,1000,5000,25000},{0,0.101,0.022,0.009,0.007,0.004,0.003}),"")</f>
        <v>8.9999999999999993E-3</v>
      </c>
      <c r="Y25" s="8">
        <f t="shared" si="8"/>
        <v>2.25</v>
      </c>
      <c r="Z25" s="1" t="s">
        <v>407</v>
      </c>
      <c r="AA25" s="9" t="s">
        <v>290</v>
      </c>
      <c r="AD25" s="8">
        <f>IFERROR(LOOKUP(IF(AC25="",G25,AC25),{0,1,25,50,100,250,500,1000},{0,0.1,0.022,0.016,0.009,0.008,0.008,0.007}),"")</f>
        <v>8.0000000000000002E-3</v>
      </c>
      <c r="AE25" s="8">
        <f t="shared" ref="AE25:AE30" si="9">IFERROR(IF(AC25="",G25,AC25)*AD25,"")</f>
        <v>2</v>
      </c>
      <c r="AF25" s="1" t="s">
        <v>454</v>
      </c>
      <c r="AG25" s="9" t="s">
        <v>290</v>
      </c>
      <c r="AJ25" s="8">
        <f>IFERROR(LOOKUP(IF(AI25="",G25,AI25),{0,1,3,5},{0,0.60591,0.58465,0.57402}),"")</f>
        <v>0.57401999999999997</v>
      </c>
      <c r="AK25" s="8">
        <f>IFERROR(IF(AI25="",G25,AI25)*AJ25,"")</f>
        <v>143.505</v>
      </c>
      <c r="AL25" s="1" t="s">
        <v>500</v>
      </c>
      <c r="AM25" s="9" t="s">
        <v>290</v>
      </c>
      <c r="AN25" s="1">
        <v>1212</v>
      </c>
      <c r="AP25" s="7">
        <v>1.11E-2</v>
      </c>
      <c r="AQ25" s="8">
        <f t="shared" si="4"/>
        <v>2.7749999999999999</v>
      </c>
      <c r="AS25" s="9"/>
    </row>
    <row r="26" spans="1:45" x14ac:dyDescent="0.25">
      <c r="A26" s="1" t="s">
        <v>87</v>
      </c>
      <c r="B26" s="1" t="s">
        <v>89</v>
      </c>
      <c r="D26" s="1" t="s">
        <v>53</v>
      </c>
      <c r="E26" s="1" t="s">
        <v>52</v>
      </c>
      <c r="F26" s="1" t="s">
        <v>88</v>
      </c>
      <c r="G26" s="1">
        <f>BoardQty*3</f>
        <v>750</v>
      </c>
      <c r="H26" s="7">
        <f t="shared" ca="1" si="0"/>
        <v>2E-3</v>
      </c>
      <c r="I26" s="8">
        <f t="shared" ca="1" si="1"/>
        <v>1.5</v>
      </c>
      <c r="J26" s="1">
        <v>583667</v>
      </c>
      <c r="L26" s="8">
        <f>IFERROR(LOOKUP(IF(K26="",G26,K26),{0,1,10,100,1000,2500,5000,10000,25000,50000,125000},{0,0.1,0.019,0.0076,0.00341,0.00296,0.00245,0.00213,0.00187,0.00171,0.00168}),"")</f>
        <v>7.6E-3</v>
      </c>
      <c r="M26" s="8">
        <f t="shared" si="7"/>
        <v>5.7</v>
      </c>
      <c r="N26" s="1" t="s">
        <v>306</v>
      </c>
      <c r="O26" s="9" t="s">
        <v>290</v>
      </c>
      <c r="R26" s="8">
        <f>IFERROR(LOOKUP(IF(Q26="",G26,Q26),{0,1,100,500,1000,2500},{0,0.0097796,0.0097796,0.0076536,0.0058465,0.0048898}),"")</f>
        <v>7.6536E-3</v>
      </c>
      <c r="S26" s="8">
        <f>IFERROR(IF(Q26="",G26,Q26)*R26,"")</f>
        <v>5.7401999999999997</v>
      </c>
      <c r="T26" s="1" t="s">
        <v>359</v>
      </c>
      <c r="U26" s="9" t="s">
        <v>290</v>
      </c>
      <c r="V26" s="1">
        <v>176465</v>
      </c>
      <c r="X26" s="8">
        <f>IFERROR(LOOKUP(IF(W26="",G26,W26),{0,1,10,100,1000,5000,10000},{0,0.101,0.013,0.004,0.003,0.003,0.002}),"")</f>
        <v>4.0000000000000001E-3</v>
      </c>
      <c r="Y26" s="8">
        <f t="shared" si="8"/>
        <v>3</v>
      </c>
      <c r="Z26" s="1" t="s">
        <v>408</v>
      </c>
      <c r="AA26" s="9" t="s">
        <v>290</v>
      </c>
      <c r="AD26" s="8">
        <f>IFERROR(LOOKUP(IF(AC26="",G26,AC26),{0,1,5000},{0,0.002,0.002}),"")</f>
        <v>2E-3</v>
      </c>
      <c r="AE26" s="8">
        <f t="shared" si="9"/>
        <v>1.5</v>
      </c>
      <c r="AF26" s="1" t="s">
        <v>455</v>
      </c>
      <c r="AG26" s="9" t="s">
        <v>290</v>
      </c>
      <c r="AN26" s="1">
        <v>106878</v>
      </c>
      <c r="AP26" s="7">
        <v>7.1000000000000004E-3</v>
      </c>
      <c r="AQ26" s="8">
        <f t="shared" si="4"/>
        <v>5.3250000000000002</v>
      </c>
    </row>
    <row r="27" spans="1:45" x14ac:dyDescent="0.25">
      <c r="A27" s="1" t="s">
        <v>90</v>
      </c>
      <c r="B27" s="1" t="s">
        <v>92</v>
      </c>
      <c r="D27" s="1" t="s">
        <v>53</v>
      </c>
      <c r="E27" s="1" t="s">
        <v>52</v>
      </c>
      <c r="F27" s="1" t="s">
        <v>91</v>
      </c>
      <c r="G27" s="1">
        <f>BoardQty*17</f>
        <v>4250</v>
      </c>
      <c r="H27" s="7">
        <f t="shared" ca="1" si="0"/>
        <v>2.96E-3</v>
      </c>
      <c r="I27" s="8">
        <f t="shared" ca="1" si="1"/>
        <v>12.58</v>
      </c>
      <c r="J27" s="1">
        <v>2409489</v>
      </c>
      <c r="L27" s="8">
        <f>IFERROR(LOOKUP(IF(K27="",G27,K27),{0,1,10,100,1000,2500,5000,10000,25000,50000,125000},{0,0.1,0.019,0.0076,0.00341,0.00296,0.00245,0.00213,0.00187,0.00171,0.00168}),"")</f>
        <v>2.96E-3</v>
      </c>
      <c r="M27" s="8">
        <f t="shared" si="7"/>
        <v>12.58</v>
      </c>
      <c r="N27" s="1" t="s">
        <v>307</v>
      </c>
      <c r="O27" s="9" t="s">
        <v>290</v>
      </c>
      <c r="R27" s="8">
        <f>IFERROR(LOOKUP(IF(Q27="",G27,Q27),{0,1,100,500,1000,2500},{0,0.0113741,0.0113741,0.008504,0.0068032,0.0056339}),"")</f>
        <v>5.6338999999999998E-3</v>
      </c>
      <c r="S27" s="8">
        <f>IFERROR(IF(Q27="",G27,Q27)*R27,"")</f>
        <v>23.944074999999998</v>
      </c>
      <c r="T27" s="1" t="s">
        <v>360</v>
      </c>
      <c r="U27" s="9" t="s">
        <v>290</v>
      </c>
      <c r="V27" s="1">
        <v>334723</v>
      </c>
      <c r="X27" s="8">
        <f>IFERROR(LOOKUP(IF(W27="",G27,W27),{0,1,10,100,1000,5000,10000},{0,0.101,0.013,0.004,0.003,0.003,0.002}),"")</f>
        <v>3.0000000000000001E-3</v>
      </c>
      <c r="Y27" s="8">
        <f t="shared" si="8"/>
        <v>12.75</v>
      </c>
      <c r="Z27" s="1" t="s">
        <v>409</v>
      </c>
      <c r="AA27" s="9" t="s">
        <v>290</v>
      </c>
      <c r="AD27" s="8">
        <f>IFERROR(LOOKUP(IF(AC27="",G27,AC27),{0,1,10,25,100,250,500,1000},{0,0.1,0.018,0.012,0.007,0.005,0.004,0.003}),"")</f>
        <v>3.0000000000000001E-3</v>
      </c>
      <c r="AE27" s="8">
        <f t="shared" si="9"/>
        <v>12.75</v>
      </c>
      <c r="AF27" s="1" t="s">
        <v>456</v>
      </c>
      <c r="AG27" s="9" t="s">
        <v>290</v>
      </c>
      <c r="AH27" s="1">
        <v>8</v>
      </c>
      <c r="AJ27" s="8">
        <f>IFERROR(LOOKUP(IF(AI27="",G27,AI27),{0,1,5},{0,23.36474,19.29345}),"")</f>
        <v>19.29345</v>
      </c>
      <c r="AK27" s="8">
        <f>IFERROR(IF(AI27="",G27,AI27)*AJ27,"")</f>
        <v>81997.162500000006</v>
      </c>
      <c r="AL27" s="1" t="s">
        <v>501</v>
      </c>
      <c r="AM27" s="9" t="s">
        <v>290</v>
      </c>
      <c r="AP27" s="7"/>
      <c r="AQ27" s="8">
        <f t="shared" si="4"/>
        <v>0</v>
      </c>
      <c r="AS27" s="9"/>
    </row>
    <row r="28" spans="1:45" x14ac:dyDescent="0.25">
      <c r="A28" s="1" t="s">
        <v>93</v>
      </c>
      <c r="B28" s="1" t="s">
        <v>95</v>
      </c>
      <c r="D28" s="1" t="s">
        <v>13</v>
      </c>
      <c r="E28" s="1" t="s">
        <v>37</v>
      </c>
      <c r="F28" s="1" t="s">
        <v>94</v>
      </c>
      <c r="G28" s="1">
        <f>BoardQty*1</f>
        <v>250</v>
      </c>
      <c r="H28" s="7">
        <f t="shared" ca="1" si="0"/>
        <v>1.77521E-2</v>
      </c>
      <c r="I28" s="8">
        <f t="shared" ca="1" si="1"/>
        <v>4.4380249999999997</v>
      </c>
      <c r="J28" s="1">
        <v>33192</v>
      </c>
      <c r="L28" s="8">
        <f>IFERROR(LOOKUP(IF(K28="",G28,K28),{0,1,10,100,500,1000,3000,6000,9000},{0,0.13,0.094,0.044,0.03086,0.02555,0.02068,0.01892,0.0176}),"")</f>
        <v>4.3999999999999997E-2</v>
      </c>
      <c r="M28" s="8">
        <f t="shared" si="7"/>
        <v>11</v>
      </c>
      <c r="N28" s="1" t="s">
        <v>308</v>
      </c>
      <c r="O28" s="9" t="s">
        <v>290</v>
      </c>
      <c r="R28" s="8">
        <f>IFERROR(LOOKUP(IF(Q28="",G28,Q28),{0,1,3000},{0,0.0177521,0.0177521}),"")</f>
        <v>1.77521E-2</v>
      </c>
      <c r="S28" s="8">
        <f>IFERROR(IF(Q28="",G28,Q28)*R28,"")</f>
        <v>4.4380249999999997</v>
      </c>
      <c r="T28" s="1" t="s">
        <v>361</v>
      </c>
      <c r="U28" s="9" t="s">
        <v>290</v>
      </c>
      <c r="V28" s="1">
        <v>26687</v>
      </c>
      <c r="X28" s="8">
        <f>IFERROR(LOOKUP(IF(W28="",G28,W28),{0,1,10,100,500,1000,3000},{0,0.231,0.083,0.046,0.034,0.024,0.019}),"")</f>
        <v>4.5999999999999999E-2</v>
      </c>
      <c r="Y28" s="8">
        <f t="shared" si="8"/>
        <v>11.5</v>
      </c>
      <c r="Z28" s="1" t="s">
        <v>410</v>
      </c>
      <c r="AA28" s="9" t="s">
        <v>290</v>
      </c>
      <c r="AD28" s="8">
        <f>IFERROR(LOOKUP(IF(AC28="",G28,AC28),{0,1,25,50,100,250,500,1000},{0,0.23,0.083,0.065,0.046,0.04,0.033,0.024}),"")</f>
        <v>0.04</v>
      </c>
      <c r="AE28" s="8">
        <f t="shared" si="9"/>
        <v>10</v>
      </c>
      <c r="AF28" s="1" t="s">
        <v>457</v>
      </c>
      <c r="AG28" s="9" t="s">
        <v>290</v>
      </c>
      <c r="AN28" s="1">
        <v>2566</v>
      </c>
      <c r="AP28" s="7">
        <v>0.35699999999999998</v>
      </c>
      <c r="AQ28" s="8">
        <f t="shared" si="4"/>
        <v>89.25</v>
      </c>
    </row>
    <row r="29" spans="1:45" x14ac:dyDescent="0.25">
      <c r="A29" s="1" t="s">
        <v>96</v>
      </c>
      <c r="B29" s="1" t="s">
        <v>98</v>
      </c>
      <c r="D29" s="1" t="s">
        <v>13</v>
      </c>
      <c r="E29" s="1" t="s">
        <v>37</v>
      </c>
      <c r="F29" s="1" t="s">
        <v>97</v>
      </c>
      <c r="G29" s="1">
        <f>BoardQty*7</f>
        <v>1750</v>
      </c>
      <c r="H29" s="7">
        <f t="shared" ca="1" si="0"/>
        <v>1.47E-2</v>
      </c>
      <c r="I29" s="8">
        <f t="shared" ca="1" si="1"/>
        <v>25.724999999999998</v>
      </c>
      <c r="L29" s="8">
        <f>IFERROR(LOOKUP(IF(K29="",G29,K29),{0,1,3000},{0,0.03567,0.03567}),"")</f>
        <v>3.567E-2</v>
      </c>
      <c r="M29" s="8">
        <f t="shared" si="7"/>
        <v>62.422499999999999</v>
      </c>
      <c r="N29" s="1" t="s">
        <v>309</v>
      </c>
      <c r="O29" s="9" t="s">
        <v>290</v>
      </c>
      <c r="V29" s="1">
        <v>31960</v>
      </c>
      <c r="X29" s="8">
        <f>IFERROR(LOOKUP(IF(W29="",G29,W29),{0,1,10,100,500,1000,3000},{0,0.401,0.143,0.08,0.057,0.041,0.032}),"")</f>
        <v>4.1000000000000002E-2</v>
      </c>
      <c r="Y29" s="8">
        <f t="shared" si="8"/>
        <v>71.75</v>
      </c>
      <c r="Z29" s="1" t="s">
        <v>411</v>
      </c>
      <c r="AA29" s="9" t="s">
        <v>290</v>
      </c>
      <c r="AD29" s="8">
        <f>IFERROR(LOOKUP(IF(AC29="",G29,AC29),{0,1,3000},{0,0.029,0.029}),"")</f>
        <v>2.9000000000000001E-2</v>
      </c>
      <c r="AE29" s="8">
        <f t="shared" si="9"/>
        <v>50.75</v>
      </c>
      <c r="AF29" s="1" t="s">
        <v>458</v>
      </c>
      <c r="AG29" s="9" t="s">
        <v>290</v>
      </c>
      <c r="AN29" s="1">
        <v>816</v>
      </c>
      <c r="AP29" s="7">
        <v>1.47E-2</v>
      </c>
      <c r="AQ29" s="8">
        <f t="shared" si="4"/>
        <v>25.724999999999998</v>
      </c>
    </row>
    <row r="30" spans="1:45" x14ac:dyDescent="0.25">
      <c r="A30" s="1" t="s">
        <v>99</v>
      </c>
      <c r="B30" s="1" t="s">
        <v>100</v>
      </c>
      <c r="D30" s="1" t="s">
        <v>102</v>
      </c>
      <c r="E30" s="1" t="s">
        <v>101</v>
      </c>
      <c r="F30" s="1" t="s">
        <v>100</v>
      </c>
      <c r="G30" s="1">
        <f t="shared" ref="G30:G38" si="10">BoardQty*1</f>
        <v>250</v>
      </c>
      <c r="H30" s="7">
        <f t="shared" ca="1" si="0"/>
        <v>4.6772000000000001E-2</v>
      </c>
      <c r="I30" s="8">
        <f t="shared" ca="1" si="1"/>
        <v>11.693</v>
      </c>
      <c r="J30" s="1">
        <v>315000</v>
      </c>
      <c r="L30" s="8">
        <f>IFERROR(LOOKUP(IF(K30="",G30,K30),{0,1,10,25,100,250,500,1000,2500,5000,10000,25000,50000,125000},{0,0.16,0.149,0.1352,0.0973,0.05732,0.04758,0.03245,0.02758,0.02415,0.021,0.0189,0.0168,0.014}),"")</f>
        <v>5.7320000000000003E-2</v>
      </c>
      <c r="M30" s="8">
        <f t="shared" si="7"/>
        <v>14.33</v>
      </c>
      <c r="N30" s="1" t="s">
        <v>310</v>
      </c>
      <c r="O30" s="9" t="s">
        <v>290</v>
      </c>
      <c r="R30" s="8">
        <f>IFERROR(LOOKUP(IF(Q30="",G30,Q30),{0,1,25,100,500,1000,5000,9000,30000},{0,0.304018,0.28701,0.0643115,0.0533626,0.0292325,0.0240238,0.0192403,0.0189214}),"")</f>
        <v>6.4311499999999994E-2</v>
      </c>
      <c r="S30" s="8">
        <f>IFERROR(IF(Q30="",G30,Q30)*R30,"")</f>
        <v>16.077874999999999</v>
      </c>
      <c r="T30" s="1" t="s">
        <v>362</v>
      </c>
      <c r="U30" s="9" t="s">
        <v>290</v>
      </c>
      <c r="V30" s="1">
        <v>45180</v>
      </c>
      <c r="X30" s="8">
        <f>IFERROR(LOOKUP(IF(W30="",G30,W30),{0,1,10,100,500,1000,5000,10000,25000,50000},{0,0.15,0.129,0.054,0.045,0.026,0.024,0.02,0.018,0.013}),"")</f>
        <v>5.3999999999999999E-2</v>
      </c>
      <c r="Y30" s="8">
        <f t="shared" si="8"/>
        <v>13.5</v>
      </c>
      <c r="Z30" s="1" t="s">
        <v>412</v>
      </c>
      <c r="AA30" s="9" t="s">
        <v>290</v>
      </c>
      <c r="AD30" s="8">
        <f>IFERROR(LOOKUP(IF(AC30="",G30,AC30),{0,1,25,50,100,250,500,1000},{0,0.15,0.128,0.091,0.054,0.05,0.045,0.026}),"")</f>
        <v>0.05</v>
      </c>
      <c r="AE30" s="8">
        <f t="shared" si="9"/>
        <v>12.5</v>
      </c>
      <c r="AF30" s="1" t="s">
        <v>459</v>
      </c>
      <c r="AG30" s="9" t="s">
        <v>290</v>
      </c>
      <c r="AH30" s="1">
        <v>1500</v>
      </c>
      <c r="AJ30" s="8">
        <f>IFERROR(LOOKUP(IF(AI30="",G30,AI30),{0,1,100,200,300,400,500},{0,0.047835,0.047835,0.046772,0.045709,0.04252,0.038268}),"")</f>
        <v>4.6772000000000001E-2</v>
      </c>
      <c r="AK30" s="8">
        <f>IFERROR(IF(AI30="",G30,AI30)*AJ30,"")</f>
        <v>11.693</v>
      </c>
      <c r="AL30" s="1" t="s">
        <v>502</v>
      </c>
      <c r="AM30" s="9" t="s">
        <v>290</v>
      </c>
      <c r="AN30" s="1">
        <v>24086</v>
      </c>
      <c r="AP30" s="7">
        <v>0.376</v>
      </c>
      <c r="AQ30" s="8">
        <f t="shared" si="4"/>
        <v>94</v>
      </c>
      <c r="AS30" s="9"/>
    </row>
    <row r="31" spans="1:45" x14ac:dyDescent="0.25">
      <c r="A31" s="1" t="s">
        <v>103</v>
      </c>
      <c r="B31" s="1" t="s">
        <v>107</v>
      </c>
      <c r="D31" s="1" t="s">
        <v>106</v>
      </c>
      <c r="E31" s="1" t="s">
        <v>105</v>
      </c>
      <c r="F31" s="1" t="s">
        <v>104</v>
      </c>
      <c r="G31" s="1">
        <f t="shared" si="10"/>
        <v>250</v>
      </c>
      <c r="H31" s="7">
        <f t="shared" ca="1" si="0"/>
        <v>0.25530000000000003</v>
      </c>
      <c r="I31" s="8">
        <f t="shared" ca="1" si="1"/>
        <v>63.82500000000001</v>
      </c>
      <c r="V31" s="1">
        <v>474</v>
      </c>
      <c r="X31" s="8">
        <f>IFERROR(LOOKUP(IF(W31="",G31,W31),{0,1,10,25,100,250,500,1000,2500,5000},{0,0.411,0.36,0.337,0.298,0.29,0.281,0.234,0.227,0.22}),"")</f>
        <v>0.28999999999999998</v>
      </c>
      <c r="Y31" s="8">
        <f t="shared" si="8"/>
        <v>72.5</v>
      </c>
      <c r="Z31" s="1" t="s">
        <v>413</v>
      </c>
      <c r="AA31" s="9" t="s">
        <v>290</v>
      </c>
      <c r="AN31" s="1" t="s">
        <v>542</v>
      </c>
      <c r="AP31" s="7">
        <v>0.25530000000000003</v>
      </c>
      <c r="AQ31" s="8">
        <f t="shared" si="4"/>
        <v>63.82500000000001</v>
      </c>
    </row>
    <row r="32" spans="1:45" x14ac:dyDescent="0.25">
      <c r="A32" s="1" t="s">
        <v>108</v>
      </c>
      <c r="B32" s="1" t="s">
        <v>112</v>
      </c>
      <c r="D32" s="1" t="s">
        <v>111</v>
      </c>
      <c r="E32" s="1" t="s">
        <v>110</v>
      </c>
      <c r="F32" s="1" t="s">
        <v>109</v>
      </c>
      <c r="G32" s="1">
        <f t="shared" si="10"/>
        <v>250</v>
      </c>
      <c r="H32" s="7">
        <f t="shared" ca="1" si="0"/>
        <v>0.26229999999999998</v>
      </c>
      <c r="I32" s="8">
        <f t="shared" ca="1" si="1"/>
        <v>65.574999999999989</v>
      </c>
      <c r="J32" s="1">
        <v>7683</v>
      </c>
      <c r="L32" s="8">
        <f>IFERROR(LOOKUP(IF(K32="",G32,K32),{0,1,10,50,100,500,1000,3000,5000,10000},{0,0.46,0.385,0.3466,0.308,0.2926,0.224,0.21,0.203,0.196}),"")</f>
        <v>0.308</v>
      </c>
      <c r="M32" s="8">
        <f t="shared" ref="M32:M43" si="11">IFERROR(IF(K32="",G32,K32)*L32,"")</f>
        <v>77</v>
      </c>
      <c r="N32" s="1" t="s">
        <v>311</v>
      </c>
      <c r="O32" s="9" t="s">
        <v>290</v>
      </c>
      <c r="R32" s="8">
        <f>IFERROR(LOOKUP(IF(Q32="",G32,Q32),{0,1,100,250,500,1000,5000,10000},{0,0.300829,0.300829,0.293388,0.285947,0.215789,0.211537,0.207285}),"")</f>
        <v>0.29338799999999998</v>
      </c>
      <c r="S32" s="8">
        <f>IFERROR(IF(Q32="",G32,Q32)*R32,"")</f>
        <v>73.346999999999994</v>
      </c>
      <c r="T32" s="1" t="s">
        <v>363</v>
      </c>
      <c r="U32" s="9" t="s">
        <v>290</v>
      </c>
      <c r="V32" s="1">
        <v>790</v>
      </c>
      <c r="X32" s="8">
        <f>IFERROR(LOOKUP(IF(W32="",G32,W32),{0,1,10,50,100,500,1000,2000,5000,10000},{0,0.421,0.351,0.316,0.281,0.267,0.224,0.211,0.204,0.196}),"")</f>
        <v>0.28100000000000003</v>
      </c>
      <c r="Y32" s="8">
        <f t="shared" si="8"/>
        <v>70.25</v>
      </c>
      <c r="Z32" s="1" t="s">
        <v>414</v>
      </c>
      <c r="AA32" s="9" t="s">
        <v>290</v>
      </c>
      <c r="AD32" s="8">
        <f>IFERROR(LOOKUP(IF(AC32="",G32,AC32),{0,1,10,50,100,500},{0,0.44,0.369,0.331,0.294,0.28}),"")</f>
        <v>0.29399999999999998</v>
      </c>
      <c r="AE32" s="8">
        <f>IFERROR(IF(AC32="",G32,AC32)*AD32,"")</f>
        <v>73.5</v>
      </c>
      <c r="AF32" s="1" t="s">
        <v>460</v>
      </c>
      <c r="AG32" s="9" t="s">
        <v>290</v>
      </c>
      <c r="AN32" s="1">
        <v>107</v>
      </c>
      <c r="AP32" s="7">
        <v>0.26229999999999998</v>
      </c>
      <c r="AQ32" s="8">
        <f t="shared" si="4"/>
        <v>65.574999999999989</v>
      </c>
    </row>
    <row r="33" spans="1:45" x14ac:dyDescent="0.25">
      <c r="A33" s="1" t="s">
        <v>113</v>
      </c>
      <c r="B33" s="1" t="s">
        <v>92</v>
      </c>
      <c r="D33" s="1" t="s">
        <v>53</v>
      </c>
      <c r="E33" s="1" t="s">
        <v>70</v>
      </c>
      <c r="F33" s="1" t="s">
        <v>114</v>
      </c>
      <c r="G33" s="1">
        <f t="shared" si="10"/>
        <v>250</v>
      </c>
      <c r="H33" s="7">
        <f t="shared" ca="1" si="0"/>
        <v>4.0000000000000001E-3</v>
      </c>
      <c r="I33" s="8">
        <f t="shared" ca="1" si="1"/>
        <v>1</v>
      </c>
      <c r="L33" s="8">
        <f>IFERROR(LOOKUP(IF(K33="",G33,K33),{0,1,10,100,1000,2500,5000,10000,25000,50000,125000},{0,0.1,0.041,0.0167,0.00749,0.0065,0.00537,0.00466,0.0041,0.00376,0.00368}),"")</f>
        <v>1.67E-2</v>
      </c>
      <c r="M33" s="8">
        <f t="shared" si="11"/>
        <v>4.1749999999999998</v>
      </c>
      <c r="N33" s="1" t="s">
        <v>312</v>
      </c>
      <c r="O33" s="9" t="s">
        <v>290</v>
      </c>
      <c r="R33" s="8">
        <f>IFERROR(LOOKUP(IF(Q33="",G33,Q33),{0,1,100,500,1000,2500},{0,0.0139253,0.0139253,0.0130749,0.0089292,0.0072284}),"")</f>
        <v>1.39253E-2</v>
      </c>
      <c r="S33" s="8">
        <f>IFERROR(IF(Q33="",G33,Q33)*R33,"")</f>
        <v>3.481325</v>
      </c>
      <c r="T33" s="1" t="s">
        <v>364</v>
      </c>
      <c r="U33" s="9" t="s">
        <v>290</v>
      </c>
      <c r="V33" s="1">
        <v>53833</v>
      </c>
      <c r="X33" s="8">
        <f>IFERROR(LOOKUP(IF(W33="",G33,W33),{0,1,10,100,1000,5000},{0,0.101,0.022,0.009,0.007,0.004}),"")</f>
        <v>8.9999999999999993E-3</v>
      </c>
      <c r="Y33" s="8">
        <f t="shared" si="8"/>
        <v>2.25</v>
      </c>
      <c r="Z33" s="1" t="s">
        <v>415</v>
      </c>
      <c r="AA33" s="9" t="s">
        <v>290</v>
      </c>
      <c r="AD33" s="8">
        <f>IFERROR(LOOKUP(IF(AC33="",G33,AC33),{0,1,5000},{0,0.004,0.004}),"")</f>
        <v>4.0000000000000001E-3</v>
      </c>
      <c r="AE33" s="8">
        <f>IFERROR(IF(AC33="",G33,AC33)*AD33,"")</f>
        <v>1</v>
      </c>
      <c r="AF33" s="1" t="s">
        <v>461</v>
      </c>
      <c r="AG33" s="9" t="s">
        <v>290</v>
      </c>
      <c r="AH33" s="1">
        <v>12</v>
      </c>
      <c r="AL33" s="1" t="s">
        <v>503</v>
      </c>
      <c r="AM33" s="9" t="s">
        <v>290</v>
      </c>
      <c r="AP33" s="7"/>
      <c r="AQ33" s="8">
        <f t="shared" si="4"/>
        <v>0</v>
      </c>
      <c r="AS33" s="9"/>
    </row>
    <row r="34" spans="1:45" x14ac:dyDescent="0.25">
      <c r="A34" s="1" t="s">
        <v>115</v>
      </c>
      <c r="B34" s="1" t="s">
        <v>118</v>
      </c>
      <c r="D34" s="1" t="s">
        <v>117</v>
      </c>
      <c r="E34" s="1" t="s">
        <v>44</v>
      </c>
      <c r="F34" s="1" t="s">
        <v>116</v>
      </c>
      <c r="G34" s="1">
        <f t="shared" si="10"/>
        <v>250</v>
      </c>
      <c r="H34" s="7">
        <f t="shared" ca="1" si="0"/>
        <v>0.29338799999999998</v>
      </c>
      <c r="I34" s="8">
        <f t="shared" ca="1" si="1"/>
        <v>73.346999999999994</v>
      </c>
      <c r="J34" s="1">
        <v>46068</v>
      </c>
      <c r="L34" s="8">
        <f>IFERROR(LOOKUP(IF(K34="",G34,K34),{0,1,10,100,500,1000,1680,2500,5000,12500},{0,0.56,0.495,0.3795,0.3,0.24,0.24,0.2175,0.2025,0.195}),"")</f>
        <v>0.3795</v>
      </c>
      <c r="M34" s="8">
        <f t="shared" si="11"/>
        <v>94.875</v>
      </c>
      <c r="N34" s="1" t="s">
        <v>313</v>
      </c>
      <c r="O34" s="9" t="s">
        <v>290</v>
      </c>
      <c r="R34" s="8">
        <f>IFERROR(LOOKUP(IF(Q34="",G34,Q34),{0,1,25,100,250,500,1000,2000,7000},{0,0.525122,0.48898,0.29764,0.293388,0.289136,0.235986,0.20197,0.196655}),"")</f>
        <v>0.29338799999999998</v>
      </c>
      <c r="S34" s="8">
        <f>IFERROR(IF(Q34="",G34,Q34)*R34,"")</f>
        <v>73.346999999999994</v>
      </c>
      <c r="T34" s="1" t="s">
        <v>365</v>
      </c>
      <c r="U34" s="9" t="s">
        <v>290</v>
      </c>
      <c r="V34" s="1">
        <v>3806</v>
      </c>
      <c r="X34" s="8">
        <f>IFERROR(LOOKUP(IF(W34="",G34,W34),{0,1,10,100,1000,2000,5000,10000,25000},{0,0.551,0.466,0.301,0.241,0.218,0.204,0.196,0.195}),"")</f>
        <v>0.30099999999999999</v>
      </c>
      <c r="Y34" s="8">
        <f t="shared" si="8"/>
        <v>75.25</v>
      </c>
      <c r="Z34" s="1" t="s">
        <v>416</v>
      </c>
      <c r="AA34" s="9" t="s">
        <v>290</v>
      </c>
      <c r="AD34" s="8">
        <f>IFERROR(LOOKUP(IF(AC34="",G34,AC34),{0,1,10,100,1000,2000,5000,10000,25000},{0,0.557,0.465,0.3,0.24,0.218,0.203,0.195,0.188}),"")</f>
        <v>0.3</v>
      </c>
      <c r="AE34" s="8">
        <f>IFERROR(IF(AC34="",G34,AC34)*AD34,"")</f>
        <v>75</v>
      </c>
      <c r="AF34" s="1" t="s">
        <v>462</v>
      </c>
      <c r="AG34" s="9" t="s">
        <v>290</v>
      </c>
      <c r="AH34" s="1">
        <v>10</v>
      </c>
      <c r="AJ34" s="8">
        <f>IFERROR(LOOKUP(IF(AI34="",G34,AI34),{0,1,5,10},{0,0.448586,0.448586,0.433704}),"")</f>
        <v>0.43370399999999998</v>
      </c>
      <c r="AK34" s="8">
        <f>IFERROR(IF(AI34="",G34,AI34)*AJ34,"")</f>
        <v>108.42599999999999</v>
      </c>
      <c r="AL34" s="1" t="s">
        <v>504</v>
      </c>
      <c r="AM34" s="9" t="s">
        <v>290</v>
      </c>
      <c r="AN34" s="1">
        <v>2792</v>
      </c>
      <c r="AP34" s="7">
        <v>0.31390000000000001</v>
      </c>
      <c r="AQ34" s="8">
        <f t="shared" si="4"/>
        <v>78.475000000000009</v>
      </c>
      <c r="AS34" s="9"/>
    </row>
    <row r="35" spans="1:45" x14ac:dyDescent="0.25">
      <c r="A35" s="1" t="s">
        <v>119</v>
      </c>
      <c r="B35" s="1" t="s">
        <v>123</v>
      </c>
      <c r="D35" s="1" t="s">
        <v>122</v>
      </c>
      <c r="E35" s="1" t="s">
        <v>121</v>
      </c>
      <c r="F35" s="1" t="s">
        <v>120</v>
      </c>
      <c r="G35" s="1">
        <f t="shared" si="10"/>
        <v>250</v>
      </c>
      <c r="H35" s="7">
        <f t="shared" ca="1" si="0"/>
        <v>7.5472999999999998E-2</v>
      </c>
      <c r="I35" s="8">
        <f t="shared" ca="1" si="1"/>
        <v>18.86825</v>
      </c>
      <c r="L35" s="8">
        <f>IFERROR(LOOKUP(IF(K35="",G35,K35),{0,1,16000},{0,0.07563,0.07563}),"")</f>
        <v>7.5630000000000003E-2</v>
      </c>
      <c r="M35" s="8">
        <f t="shared" si="11"/>
        <v>18.907500000000002</v>
      </c>
      <c r="N35" s="1" t="s">
        <v>314</v>
      </c>
      <c r="O35" s="9" t="s">
        <v>290</v>
      </c>
      <c r="V35" s="1">
        <v>7594</v>
      </c>
      <c r="X35" s="8">
        <f>IFERROR(LOOKUP(IF(W35="",G35,W35),{0,1,10,25,100,250,4000},{0,0.179,0.148,0.12,0.095,0.082,0.082}),"")</f>
        <v>8.2000000000000003E-2</v>
      </c>
      <c r="Y35" s="8">
        <f t="shared" si="8"/>
        <v>20.5</v>
      </c>
      <c r="Z35" s="1" t="s">
        <v>417</v>
      </c>
      <c r="AA35" s="9" t="s">
        <v>290</v>
      </c>
      <c r="AH35" s="1">
        <v>14850</v>
      </c>
      <c r="AJ35" s="8">
        <f>IFERROR(LOOKUP(IF(AI35="",G35,AI35),{0,1,50,500},{0,0.075473,0.075473,0.066969}),"")</f>
        <v>7.5472999999999998E-2</v>
      </c>
      <c r="AK35" s="8">
        <f>IFERROR(IF(AI35="",G35,AI35)*AJ35,"")</f>
        <v>18.86825</v>
      </c>
      <c r="AL35" s="1" t="s">
        <v>505</v>
      </c>
      <c r="AM35" s="9" t="s">
        <v>290</v>
      </c>
      <c r="AP35" s="7"/>
      <c r="AQ35" s="8">
        <f t="shared" si="4"/>
        <v>0</v>
      </c>
      <c r="AS35" s="9"/>
    </row>
    <row r="36" spans="1:45" x14ac:dyDescent="0.25">
      <c r="A36" s="1" t="s">
        <v>124</v>
      </c>
      <c r="B36" s="1" t="s">
        <v>125</v>
      </c>
      <c r="D36" s="1" t="s">
        <v>127</v>
      </c>
      <c r="E36" s="1" t="s">
        <v>126</v>
      </c>
      <c r="F36" s="1" t="s">
        <v>125</v>
      </c>
      <c r="G36" s="1">
        <f t="shared" si="10"/>
        <v>250</v>
      </c>
      <c r="H36" s="7">
        <f t="shared" ca="1" si="0"/>
        <v>3.4196</v>
      </c>
      <c r="I36" s="8">
        <f t="shared" ca="1" si="1"/>
        <v>854.9</v>
      </c>
      <c r="J36" s="1">
        <v>9015</v>
      </c>
      <c r="L36" s="8">
        <f>IFERROR(LOOKUP(IF(K36="",G36,K36),{0,1,25,100,1500},{0,4.12,3.77,3.4196,3.49171}),"")</f>
        <v>3.4196</v>
      </c>
      <c r="M36" s="8">
        <f t="shared" si="11"/>
        <v>854.9</v>
      </c>
      <c r="N36" s="1" t="s">
        <v>315</v>
      </c>
      <c r="O36" s="9" t="s">
        <v>290</v>
      </c>
      <c r="R36" s="8">
        <f>IFERROR(LOOKUP(IF(Q36="",G36,Q36),{0,1,10,25,50,100,300,900},{0,4.65594,4.16696,3.79491,3.75239,3.70987,3.66735,3.62483}),"")</f>
        <v>3.70987</v>
      </c>
      <c r="S36" s="8">
        <f>IFERROR(IF(Q36="",G36,Q36)*R36,"")</f>
        <v>927.46749999999997</v>
      </c>
      <c r="T36" s="1" t="s">
        <v>366</v>
      </c>
      <c r="U36" s="9" t="s">
        <v>290</v>
      </c>
      <c r="AD36" s="8">
        <f>IFERROR(LOOKUP(IF(AC36="",G36,AC36),{0,1,25,100},{0,4.12,3.79,3.42}),"")</f>
        <v>3.42</v>
      </c>
      <c r="AE36" s="8">
        <f>IFERROR(IF(AC36="",G36,AC36)*AD36,"")</f>
        <v>855</v>
      </c>
      <c r="AF36" s="1" t="s">
        <v>463</v>
      </c>
      <c r="AG36" s="9" t="s">
        <v>290</v>
      </c>
      <c r="AH36" s="1">
        <v>8</v>
      </c>
      <c r="AJ36" s="8">
        <f>IFERROR(LOOKUP(IF(AI36="",G36,AI36),{0,1,5},{0,5.68705,5.40004}),"")</f>
        <v>5.4000399999999997</v>
      </c>
      <c r="AK36" s="8">
        <f>IFERROR(IF(AI36="",G36,AI36)*AJ36,"")</f>
        <v>1350.01</v>
      </c>
      <c r="AL36" s="1" t="s">
        <v>506</v>
      </c>
      <c r="AM36" s="9" t="s">
        <v>290</v>
      </c>
      <c r="AN36" s="1">
        <v>1487</v>
      </c>
      <c r="AP36" s="7">
        <v>4.1539999999999999</v>
      </c>
      <c r="AQ36" s="8">
        <f t="shared" si="4"/>
        <v>1038.5</v>
      </c>
      <c r="AS36" s="9"/>
    </row>
    <row r="37" spans="1:45" x14ac:dyDescent="0.25">
      <c r="A37" s="1" t="s">
        <v>128</v>
      </c>
      <c r="B37" s="1" t="s">
        <v>131</v>
      </c>
      <c r="D37" s="1" t="s">
        <v>13</v>
      </c>
      <c r="E37" s="1" t="s">
        <v>130</v>
      </c>
      <c r="F37" s="1" t="s">
        <v>129</v>
      </c>
      <c r="G37" s="1">
        <f t="shared" si="10"/>
        <v>250</v>
      </c>
      <c r="H37" s="7">
        <f t="shared" ca="1" si="0"/>
        <v>5.9900000000000002E-2</v>
      </c>
      <c r="I37" s="8">
        <f t="shared" ca="1" si="1"/>
        <v>14.975</v>
      </c>
      <c r="J37" s="1">
        <v>25231</v>
      </c>
      <c r="L37" s="8">
        <f>IFERROR(LOOKUP(IF(K37="",G37,K37),{0,1,10,100,500,1000,4000,8000,12000},{0,0.18,0.127,0.0599,0.04198,0.03475,0.02959,0.02752,0.02615}),"")</f>
        <v>5.9900000000000002E-2</v>
      </c>
      <c r="M37" s="8">
        <f t="shared" si="11"/>
        <v>14.975</v>
      </c>
      <c r="N37" s="1" t="s">
        <v>316</v>
      </c>
      <c r="O37" s="9" t="s">
        <v>290</v>
      </c>
      <c r="AL37" s="1" t="s">
        <v>507</v>
      </c>
      <c r="AM37" s="9" t="s">
        <v>290</v>
      </c>
      <c r="AN37" s="1">
        <v>349</v>
      </c>
      <c r="AP37" s="7">
        <v>0.314</v>
      </c>
      <c r="AQ37" s="8">
        <f t="shared" si="4"/>
        <v>78.5</v>
      </c>
      <c r="AS37" s="9"/>
    </row>
    <row r="38" spans="1:45" x14ac:dyDescent="0.25">
      <c r="A38" s="1" t="s">
        <v>132</v>
      </c>
      <c r="B38" s="1" t="s">
        <v>133</v>
      </c>
      <c r="D38" s="1" t="s">
        <v>45</v>
      </c>
      <c r="E38" s="1" t="s">
        <v>44</v>
      </c>
      <c r="F38" s="1" t="s">
        <v>133</v>
      </c>
      <c r="G38" s="1">
        <f t="shared" si="10"/>
        <v>250</v>
      </c>
      <c r="H38" s="7">
        <f t="shared" ca="1" si="0"/>
        <v>1.1000000000000001</v>
      </c>
      <c r="I38" s="8">
        <f t="shared" ca="1" si="1"/>
        <v>275</v>
      </c>
      <c r="J38" s="1">
        <v>51153</v>
      </c>
      <c r="L38" s="8">
        <f>IFERROR(LOOKUP(IF(K38="",G38,K38),{0,1,10,100,500,1000,2500},{0,1.75,1.571,1.2624,1.03716,0.85936,0.7672}),"")</f>
        <v>1.2624</v>
      </c>
      <c r="M38" s="8">
        <f t="shared" si="11"/>
        <v>315.59999999999997</v>
      </c>
      <c r="N38" s="1" t="s">
        <v>317</v>
      </c>
      <c r="O38" s="9" t="s">
        <v>290</v>
      </c>
      <c r="R38" s="8">
        <f>IFERROR(LOOKUP(IF(Q38="",G38,Q38),{0,1,5,50,250,500,1000},{0,1.82836,1.82836,1.37127,1.26497,1.09489,0.784494}),"")</f>
        <v>1.2649699999999999</v>
      </c>
      <c r="S38" s="8">
        <f>IFERROR(IF(Q38="",G38,Q38)*R38,"")</f>
        <v>316.24250000000001</v>
      </c>
      <c r="T38" s="1" t="s">
        <v>367</v>
      </c>
      <c r="U38" s="9" t="s">
        <v>290</v>
      </c>
      <c r="AD38" s="8">
        <f>IFERROR(LOOKUP(IF(AC38="",G38,AC38),{0,1,10,25,100,250,500,1000},{0,1.62,1.46,1.38,1.17,1.1,0.959,0.685}),"")</f>
        <v>1.1000000000000001</v>
      </c>
      <c r="AE38" s="8">
        <f>IFERROR(IF(AC38="",G38,AC38)*AD38,"")</f>
        <v>275</v>
      </c>
      <c r="AF38" s="1" t="s">
        <v>464</v>
      </c>
      <c r="AG38" s="9" t="s">
        <v>290</v>
      </c>
      <c r="AH38" s="1">
        <v>1060</v>
      </c>
      <c r="AJ38" s="8">
        <f>IFERROR(LOOKUP(IF(AI38="",G38,AI38),{0,1,5,50},{0,1.534972,1.534972,1.415916}),"")</f>
        <v>1.415916</v>
      </c>
      <c r="AK38" s="8">
        <f t="shared" ref="AK38:AK43" si="12">IFERROR(IF(AI38="",G38,AI38)*AJ38,"")</f>
        <v>353.97899999999998</v>
      </c>
      <c r="AL38" s="1" t="s">
        <v>508</v>
      </c>
      <c r="AM38" s="9" t="s">
        <v>290</v>
      </c>
      <c r="AN38" s="1">
        <v>2500</v>
      </c>
      <c r="AP38" s="7">
        <v>1.2274</v>
      </c>
      <c r="AQ38" s="8">
        <f t="shared" si="4"/>
        <v>306.85000000000002</v>
      </c>
      <c r="AS38" s="9"/>
    </row>
    <row r="39" spans="1:45" x14ac:dyDescent="0.25">
      <c r="A39" s="1" t="s">
        <v>134</v>
      </c>
      <c r="B39" s="1" t="s">
        <v>95</v>
      </c>
      <c r="D39" s="1" t="s">
        <v>13</v>
      </c>
      <c r="E39" s="1" t="s">
        <v>130</v>
      </c>
      <c r="F39" s="1" t="s">
        <v>135</v>
      </c>
      <c r="G39" s="1">
        <f>BoardQty*2</f>
        <v>500</v>
      </c>
      <c r="H39" s="7">
        <f t="shared" ref="H39:H70" ca="1" si="13">MINA(INDIRECT(ADDRESS(ROW(),COLUMN(newark_part_data)+2)),INDIRECT(ADDRESS(ROW(),COLUMN(digikey_part_data)+2)),INDIRECT(ADDRESS(ROW(),COLUMN(rs_part_data)+2)),INDIRECT(ADDRESS(ROW(),COLUMN(farnell_part_data)+2)),INDIRECT(ADDRESS(ROW(),COLUMN(mouser_part_data)+2)),INDIRECT(ADDRESS(ROW(),COLUMN($AN$5:$AS$80)+2)))</f>
        <v>2.1180000000000001E-2</v>
      </c>
      <c r="I39" s="8">
        <f t="shared" ref="I39:I70" ca="1" si="14">IFERROR(G39*H39,"")</f>
        <v>10.59</v>
      </c>
      <c r="J39" s="1">
        <v>65</v>
      </c>
      <c r="L39" s="8">
        <f>IFERROR(LOOKUP(IF(K39="",G39,K39),{0,1,10,100,500,1000,2000,4000},{0,0.1,0.067,0.0296,0.02118,0.01664,0.01513,0.01392}),"")</f>
        <v>2.1180000000000001E-2</v>
      </c>
      <c r="M39" s="8">
        <f t="shared" si="11"/>
        <v>10.59</v>
      </c>
      <c r="N39" s="1" t="s">
        <v>318</v>
      </c>
      <c r="O39" s="9" t="s">
        <v>290</v>
      </c>
      <c r="AJ39" s="8">
        <f>IFERROR(LOOKUP(IF(AI39="",G39,AI39),{0,1,3,5},{0,20.90921,19.85684,18.85762}),"")</f>
        <v>18.857620000000001</v>
      </c>
      <c r="AK39" s="8">
        <f t="shared" si="12"/>
        <v>9428.81</v>
      </c>
      <c r="AL39" s="1" t="s">
        <v>509</v>
      </c>
      <c r="AM39" s="9" t="s">
        <v>290</v>
      </c>
      <c r="AN39" s="1">
        <v>290</v>
      </c>
      <c r="AP39" s="7">
        <v>0.217</v>
      </c>
      <c r="AQ39" s="8">
        <f t="shared" si="4"/>
        <v>108.5</v>
      </c>
      <c r="AS39" s="9"/>
    </row>
    <row r="40" spans="1:45" x14ac:dyDescent="0.25">
      <c r="A40" s="1" t="s">
        <v>136</v>
      </c>
      <c r="B40" s="1" t="s">
        <v>139</v>
      </c>
      <c r="D40" s="1" t="s">
        <v>138</v>
      </c>
      <c r="E40" s="1" t="s">
        <v>101</v>
      </c>
      <c r="F40" s="1" t="s">
        <v>137</v>
      </c>
      <c r="G40" s="1">
        <f>BoardQty*2</f>
        <v>500</v>
      </c>
      <c r="H40" s="7">
        <f t="shared" ca="1" si="13"/>
        <v>0.12543399999999999</v>
      </c>
      <c r="I40" s="8">
        <f t="shared" ca="1" si="14"/>
        <v>62.716999999999992</v>
      </c>
      <c r="J40" s="1">
        <v>66376</v>
      </c>
      <c r="L40" s="8">
        <f>IFERROR(LOOKUP(IF(K40="",G40,K40),{0,1,5,10,50,100,250,500,1000,2000,4000,6000,10000},{0,0.23,0.22,0.211,0.1882,0.1752,0.15576,0.1298,0.12331,0.1003,0.0944,0.0885,0.0826}),"")</f>
        <v>0.1298</v>
      </c>
      <c r="M40" s="8">
        <f t="shared" si="11"/>
        <v>64.900000000000006</v>
      </c>
      <c r="N40" s="1" t="s">
        <v>319</v>
      </c>
      <c r="O40" s="9" t="s">
        <v>290</v>
      </c>
      <c r="R40" s="8">
        <f>IFERROR(LOOKUP(IF(Q40="",G40,Q40),{0,1,50,250,500,1000,2000,10000,20000},{0,0.196655,0.196655,0.150946,0.125434,0.124371,0.123308,0.122245,0.121182}),"")</f>
        <v>0.12543399999999999</v>
      </c>
      <c r="S40" s="8">
        <f>IFERROR(IF(Q40="",G40,Q40)*R40,"")</f>
        <v>62.716999999999992</v>
      </c>
      <c r="T40" s="1" t="s">
        <v>368</v>
      </c>
      <c r="U40" s="9" t="s">
        <v>290</v>
      </c>
      <c r="V40" s="1">
        <v>33544</v>
      </c>
      <c r="X40" s="8">
        <f>IFERROR(LOOKUP(IF(W40="",G40,W40),{0,1,10,2000},{0,0.221,0.208,0.208}),"")</f>
        <v>0.20799999999999999</v>
      </c>
      <c r="Y40" s="8">
        <f>IFERROR(IF(W40="",G40,W40)*X40,"")</f>
        <v>104</v>
      </c>
      <c r="Z40" s="1" t="s">
        <v>418</v>
      </c>
      <c r="AA40" s="9" t="s">
        <v>290</v>
      </c>
      <c r="AD40" s="8">
        <f>IFERROR(LOOKUP(IF(AC40="",G40,AC40),{0,1,10,25,50,100,250},{0,0.22,0.198,0.198,0.197,0.197,0.196}),"")</f>
        <v>0.19600000000000001</v>
      </c>
      <c r="AE40" s="8">
        <f>IFERROR(IF(AC40="",G40,AC40)*AD40,"")</f>
        <v>98</v>
      </c>
      <c r="AF40" s="1" t="s">
        <v>465</v>
      </c>
      <c r="AG40" s="9" t="s">
        <v>290</v>
      </c>
      <c r="AH40" s="1">
        <v>200</v>
      </c>
      <c r="AJ40" s="8">
        <f>IFERROR(LOOKUP(IF(AI40="",G40,AI40),{0,1,10,100},{0,0.247679,0.247679,0.234923}),"")</f>
        <v>0.23492299999999999</v>
      </c>
      <c r="AK40" s="8">
        <f t="shared" si="12"/>
        <v>117.4615</v>
      </c>
      <c r="AL40" s="1" t="s">
        <v>510</v>
      </c>
      <c r="AM40" s="9" t="s">
        <v>290</v>
      </c>
      <c r="AN40" s="1">
        <v>4631</v>
      </c>
      <c r="AP40" s="7">
        <v>0.1517</v>
      </c>
      <c r="AQ40" s="8">
        <f t="shared" si="4"/>
        <v>75.849999999999994</v>
      </c>
      <c r="AS40" s="9"/>
    </row>
    <row r="41" spans="1:45" x14ac:dyDescent="0.25">
      <c r="A41" s="1" t="s">
        <v>140</v>
      </c>
      <c r="B41" s="1" t="s">
        <v>144</v>
      </c>
      <c r="D41" s="1" t="s">
        <v>143</v>
      </c>
      <c r="E41" s="1" t="s">
        <v>142</v>
      </c>
      <c r="F41" s="1" t="s">
        <v>141</v>
      </c>
      <c r="G41" s="1">
        <f>BoardQty*4</f>
        <v>1000</v>
      </c>
      <c r="H41" s="7">
        <f t="shared" ca="1" si="13"/>
        <v>9.5000000000000001E-2</v>
      </c>
      <c r="I41" s="8">
        <f t="shared" ca="1" si="14"/>
        <v>95</v>
      </c>
      <c r="J41" s="1">
        <v>39466</v>
      </c>
      <c r="L41" s="8">
        <f>IFERROR(LOOKUP(IF(K41="",G41,K41),{0,1,50,100,500,1000,2000,4000},{0,0.17,0.168,0.155,0.148,0.141,0.134,0.095}),"")</f>
        <v>0.14099999999999999</v>
      </c>
      <c r="M41" s="8">
        <f t="shared" si="11"/>
        <v>141</v>
      </c>
      <c r="N41" s="1" t="s">
        <v>320</v>
      </c>
      <c r="O41" s="9" t="s">
        <v>290</v>
      </c>
      <c r="R41" s="8">
        <f>IFERROR(LOOKUP(IF(Q41="",G41,Q41),{0,1,100,500,1000,2000},{0,0.150946,0.150946,0.144568,0.140316,0.137127}),"")</f>
        <v>0.140316</v>
      </c>
      <c r="S41" s="8">
        <f>IFERROR(IF(Q41="",G41,Q41)*R41,"")</f>
        <v>140.316</v>
      </c>
      <c r="T41" s="1" t="s">
        <v>369</v>
      </c>
      <c r="U41" s="9" t="s">
        <v>290</v>
      </c>
      <c r="V41" s="1">
        <v>16821</v>
      </c>
      <c r="X41" s="8">
        <f>IFERROR(LOOKUP(IF(W41="",G41,W41),{0,1,10,50,100,500,1000,4000},{0,0.179,0.175,0.168,0.155,0.148,0.095,0.095}),"")</f>
        <v>9.5000000000000001E-2</v>
      </c>
      <c r="Y41" s="8">
        <f>IFERROR(IF(W41="",G41,W41)*X41,"")</f>
        <v>95</v>
      </c>
      <c r="Z41" s="1" t="s">
        <v>419</v>
      </c>
      <c r="AA41" s="9" t="s">
        <v>290</v>
      </c>
      <c r="AD41" s="8">
        <f>IFERROR(LOOKUP(IF(AC41="",G41,AC41),{0,1,10,25,50,100,250,500,1000},{0,0.2,0.198,0.195,0.188,0.173,0.169,0.165,0.15}),"")</f>
        <v>0.15</v>
      </c>
      <c r="AE41" s="8">
        <f>IFERROR(IF(AC41="",G41,AC41)*AD41,"")</f>
        <v>150</v>
      </c>
      <c r="AF41" s="1" t="s">
        <v>466</v>
      </c>
      <c r="AG41" s="9" t="s">
        <v>290</v>
      </c>
      <c r="AH41" s="1">
        <v>700</v>
      </c>
      <c r="AJ41" s="8">
        <f>IFERROR(LOOKUP(IF(AI41="",G41,AI41),{0,1,50,5000},{0,0.182836,0.182836,0.171143}),"")</f>
        <v>0.182836</v>
      </c>
      <c r="AK41" s="8">
        <f t="shared" si="12"/>
        <v>182.83600000000001</v>
      </c>
      <c r="AL41" s="1" t="s">
        <v>511</v>
      </c>
      <c r="AM41" s="9" t="s">
        <v>290</v>
      </c>
      <c r="AP41" s="7"/>
      <c r="AQ41" s="8">
        <f t="shared" si="4"/>
        <v>0</v>
      </c>
      <c r="AS41" s="9"/>
    </row>
    <row r="42" spans="1:45" x14ac:dyDescent="0.25">
      <c r="A42" s="1" t="s">
        <v>145</v>
      </c>
      <c r="B42" s="1" t="s">
        <v>148</v>
      </c>
      <c r="D42" s="1" t="s">
        <v>147</v>
      </c>
      <c r="E42" s="1" t="s">
        <v>52</v>
      </c>
      <c r="F42" s="1" t="s">
        <v>146</v>
      </c>
      <c r="G42" s="1">
        <f>BoardQty*3</f>
        <v>750</v>
      </c>
      <c r="H42" s="7">
        <f t="shared" ca="1" si="13"/>
        <v>4.0000000000000001E-3</v>
      </c>
      <c r="I42" s="8">
        <f t="shared" ca="1" si="14"/>
        <v>3</v>
      </c>
      <c r="J42" s="1">
        <v>4139218</v>
      </c>
      <c r="L42" s="8">
        <f>IFERROR(LOOKUP(IF(K42="",G42,K42),{0,1,10,100,500,1000,2500,4000,5000,8000,12000,15000,30000},{0,0.1,0.021,0.0095,0.00676,0.00531,0.00483,0.00386,0.00444,0.00353,0.00336,0.00336,0.00319}),"")</f>
        <v>6.7600000000000004E-3</v>
      </c>
      <c r="M42" s="8">
        <f t="shared" si="11"/>
        <v>5.07</v>
      </c>
      <c r="N42" s="1" t="s">
        <v>321</v>
      </c>
      <c r="O42" s="9" t="s">
        <v>290</v>
      </c>
      <c r="V42" s="1">
        <v>9236</v>
      </c>
      <c r="X42" s="8">
        <f>IFERROR(LOOKUP(IF(W42="",G42,W42),{0,1,10,100,2500,10000,15000},{0,0.101,0.013,0.004,0.003,0.002,0.002}),"")</f>
        <v>4.0000000000000001E-3</v>
      </c>
      <c r="Y42" s="8">
        <f>IFERROR(IF(W42="",G42,W42)*X42,"")</f>
        <v>3</v>
      </c>
      <c r="Z42" s="1" t="s">
        <v>420</v>
      </c>
      <c r="AA42" s="9" t="s">
        <v>290</v>
      </c>
      <c r="AF42" s="1" t="s">
        <v>467</v>
      </c>
      <c r="AG42" s="9" t="s">
        <v>290</v>
      </c>
      <c r="AH42" s="1">
        <v>30</v>
      </c>
      <c r="AJ42" s="8">
        <f>IFERROR(LOOKUP(IF(AI42="",G42,AI42),{0,1,2,3},{0,30.49747,25.41633,20.33519}),"")</f>
        <v>20.335190000000001</v>
      </c>
      <c r="AK42" s="8">
        <f t="shared" si="12"/>
        <v>15251.3925</v>
      </c>
      <c r="AL42" s="1" t="s">
        <v>512</v>
      </c>
      <c r="AM42" s="9" t="s">
        <v>290</v>
      </c>
      <c r="AN42" s="1">
        <v>12695</v>
      </c>
      <c r="AP42" s="7">
        <v>5.8999999999999999E-3</v>
      </c>
      <c r="AQ42" s="8">
        <f t="shared" si="4"/>
        <v>4.4249999999999998</v>
      </c>
      <c r="AS42" s="9"/>
    </row>
    <row r="43" spans="1:45" x14ac:dyDescent="0.25">
      <c r="A43" s="1" t="s">
        <v>149</v>
      </c>
      <c r="B43" s="1" t="s">
        <v>151</v>
      </c>
      <c r="D43" s="1" t="s">
        <v>147</v>
      </c>
      <c r="E43" s="1" t="s">
        <v>52</v>
      </c>
      <c r="F43" s="1" t="s">
        <v>150</v>
      </c>
      <c r="G43" s="1">
        <f>BoardQty*2</f>
        <v>500</v>
      </c>
      <c r="H43" s="7">
        <f t="shared" ca="1" si="13"/>
        <v>6.1900000000000002E-3</v>
      </c>
      <c r="I43" s="8">
        <f t="shared" ca="1" si="14"/>
        <v>3.0950000000000002</v>
      </c>
      <c r="L43" s="8">
        <f>IFERROR(LOOKUP(IF(K43="",G43,K43),{0,1,4000},{0,0.00619,0.00619}),"")</f>
        <v>6.1900000000000002E-3</v>
      </c>
      <c r="M43" s="8">
        <f t="shared" si="11"/>
        <v>3.0950000000000002</v>
      </c>
      <c r="N43" s="1" t="s">
        <v>322</v>
      </c>
      <c r="O43" s="9" t="s">
        <v>290</v>
      </c>
      <c r="V43" s="1">
        <v>36214</v>
      </c>
      <c r="X43" s="8">
        <f>IFERROR(LOOKUP(IF(W43="",G43,W43),{0,1,10,100,1000,4000,24000,100000},{0,0.14,0.028,0.012,0.009,0.007,0.004,0.003}),"")</f>
        <v>1.2E-2</v>
      </c>
      <c r="Y43" s="8">
        <f>IFERROR(IF(W43="",G43,W43)*X43,"")</f>
        <v>6</v>
      </c>
      <c r="Z43" s="1" t="s">
        <v>421</v>
      </c>
      <c r="AA43" s="9" t="s">
        <v>290</v>
      </c>
      <c r="AD43" s="8">
        <f>IFERROR(LOOKUP(IF(AC43="",G43,AC43),{0,1,25,50,100,250,500,1000,2500},{0,0.1,0.078,0.055,0.033,0.03,0.027,0.025,0.022}),"")</f>
        <v>2.7E-2</v>
      </c>
      <c r="AE43" s="8">
        <f>IFERROR(IF(AC43="",G43,AC43)*AD43,"")</f>
        <v>13.5</v>
      </c>
      <c r="AF43" s="1" t="s">
        <v>468</v>
      </c>
      <c r="AG43" s="9" t="s">
        <v>290</v>
      </c>
      <c r="AH43" s="1">
        <v>2</v>
      </c>
      <c r="AJ43" s="8">
        <f>IFERROR(LOOKUP(IF(AI43="",G43,AI43),{0,1,5,10},{0,9.52448,9.04613,8.56778}),"")</f>
        <v>8.5677800000000008</v>
      </c>
      <c r="AK43" s="8">
        <f t="shared" si="12"/>
        <v>4283.8900000000003</v>
      </c>
      <c r="AL43" s="1" t="s">
        <v>513</v>
      </c>
      <c r="AM43" s="9" t="s">
        <v>290</v>
      </c>
      <c r="AP43" s="7"/>
      <c r="AQ43" s="8">
        <f t="shared" si="4"/>
        <v>0</v>
      </c>
      <c r="AS43" s="9"/>
    </row>
    <row r="44" spans="1:45" x14ac:dyDescent="0.25">
      <c r="A44" s="1" t="s">
        <v>152</v>
      </c>
      <c r="B44" s="1" t="s">
        <v>156</v>
      </c>
      <c r="D44" s="1" t="s">
        <v>155</v>
      </c>
      <c r="E44" s="1" t="s">
        <v>154</v>
      </c>
      <c r="F44" s="1" t="s">
        <v>153</v>
      </c>
      <c r="G44" s="1">
        <f>BoardQty*1</f>
        <v>250</v>
      </c>
      <c r="H44" s="7">
        <f t="shared" ca="1" si="13"/>
        <v>1.7007999999999999E-2</v>
      </c>
      <c r="I44" s="8">
        <f t="shared" ca="1" si="14"/>
        <v>4.2519999999999998</v>
      </c>
      <c r="L44" s="1">
        <v>0.35</v>
      </c>
      <c r="AP44" s="7">
        <f>IFERROR(LOOKUP(IF(AO44="",G44,AO44),{0,1,50,500},{0,0.017008,0.017008,0.007441}),"")</f>
        <v>1.7007999999999999E-2</v>
      </c>
      <c r="AQ44" s="8">
        <f t="shared" si="4"/>
        <v>4.2519999999999998</v>
      </c>
    </row>
    <row r="45" spans="1:45" x14ac:dyDescent="0.25">
      <c r="A45" s="1" t="s">
        <v>157</v>
      </c>
      <c r="B45" s="1" t="s">
        <v>158</v>
      </c>
      <c r="D45" s="1" t="s">
        <v>143</v>
      </c>
      <c r="E45" s="1" t="s">
        <v>101</v>
      </c>
      <c r="F45" s="1" t="s">
        <v>158</v>
      </c>
      <c r="G45" s="1">
        <f>BoardQty*2</f>
        <v>500</v>
      </c>
      <c r="H45" s="7">
        <f t="shared" ca="1" si="13"/>
        <v>0.109489</v>
      </c>
      <c r="I45" s="8">
        <f t="shared" ca="1" si="14"/>
        <v>54.744500000000002</v>
      </c>
      <c r="J45" s="1">
        <v>199647</v>
      </c>
      <c r="L45" s="8">
        <f>IFERROR(LOOKUP(IF(K45="",G45,K45),{0,1,10,25,100,250,500,1000,2500,5000,10000,25000,50000},{0,0.44,0.367,0.3208,0.275,0.23836,0.20168,0.15584,0.14209,0.13795,0.12905,0.11837,0.11392}),"")</f>
        <v>0.20168</v>
      </c>
      <c r="M45" s="8">
        <f>IFERROR(IF(K45="",G45,K45)*L45,"")</f>
        <v>100.84</v>
      </c>
      <c r="N45" s="1" t="s">
        <v>323</v>
      </c>
      <c r="O45" s="9" t="s">
        <v>290</v>
      </c>
      <c r="R45" s="8">
        <f>IFERROR(LOOKUP(IF(Q45="",G45,Q45),{0,1,100,500,1000},{0,0.117993,0.117993,0.109489,0.1010913}),"")</f>
        <v>0.109489</v>
      </c>
      <c r="S45" s="8">
        <f>IFERROR(IF(Q45="",G45,Q45)*R45,"")</f>
        <v>54.744500000000002</v>
      </c>
      <c r="T45" s="1" t="s">
        <v>370</v>
      </c>
      <c r="U45" s="9" t="s">
        <v>290</v>
      </c>
      <c r="V45" s="1">
        <v>30956</v>
      </c>
      <c r="X45" s="8">
        <f>IFERROR(LOOKUP(IF(W45="",G45,W45),{0,1,10,100,250,500,1000,2500,5000},{0,0.511,0.295,0.235,0.171,0.139,0.12,0.116,0.116}),"")</f>
        <v>0.13900000000000001</v>
      </c>
      <c r="Y45" s="8">
        <f t="shared" ref="Y45:Y50" si="15">IFERROR(IF(W45="",G45,W45)*X45,"")</f>
        <v>69.5</v>
      </c>
      <c r="Z45" s="1" t="s">
        <v>422</v>
      </c>
      <c r="AA45" s="9" t="s">
        <v>290</v>
      </c>
      <c r="AD45" s="8">
        <f>IFERROR(LOOKUP(IF(AC45="",G45,AC45),{0,1,25,50,100,250,500,1000,2500},{0,0.51,0.294,0.265,0.235,0.171,0.139,0.119,0.114}),"")</f>
        <v>0.13900000000000001</v>
      </c>
      <c r="AE45" s="8">
        <f>IFERROR(IF(AC45="",G45,AC45)*AD45,"")</f>
        <v>69.5</v>
      </c>
      <c r="AF45" s="1" t="s">
        <v>469</v>
      </c>
      <c r="AG45" s="9" t="s">
        <v>290</v>
      </c>
      <c r="AJ45" s="8">
        <f>IFERROR(LOOKUP(IF(AI45="",G45,AI45),{0,1,25,100},{0,0.18071,0.12756,0.11693}),"")</f>
        <v>0.11693000000000001</v>
      </c>
      <c r="AK45" s="8">
        <f>IFERROR(IF(AI45="",G45,AI45)*AJ45,"")</f>
        <v>58.465000000000003</v>
      </c>
      <c r="AL45" s="1" t="s">
        <v>514</v>
      </c>
      <c r="AM45" s="9" t="s">
        <v>290</v>
      </c>
      <c r="AN45" s="1">
        <v>12</v>
      </c>
      <c r="AP45" s="7">
        <v>0.27510000000000001</v>
      </c>
      <c r="AQ45" s="8">
        <f t="shared" si="4"/>
        <v>137.55000000000001</v>
      </c>
      <c r="AS45" s="9"/>
    </row>
    <row r="46" spans="1:45" x14ac:dyDescent="0.25">
      <c r="A46" s="1" t="s">
        <v>159</v>
      </c>
      <c r="B46" s="1" t="s">
        <v>162</v>
      </c>
      <c r="D46" s="1" t="s">
        <v>161</v>
      </c>
      <c r="E46" s="1" t="s">
        <v>80</v>
      </c>
      <c r="F46" s="1" t="s">
        <v>160</v>
      </c>
      <c r="G46" s="1">
        <f>BoardQty*1</f>
        <v>250</v>
      </c>
      <c r="H46" s="7">
        <f t="shared" ca="1" si="13"/>
        <v>0.08</v>
      </c>
      <c r="I46" s="8">
        <f t="shared" ca="1" si="14"/>
        <v>20</v>
      </c>
      <c r="L46" s="8">
        <f>IFERROR(LOOKUP(IF(K46="",G46,K46),{0,1,10,25,100,250,500,1000,2500,5000,12500,25000,62500},{0,0.54,0.389,0.3028,0.2293,0.16224,0.12978,0.0995,0.084,0.0756,0.0672,0.063,0.056}),"")</f>
        <v>0.16224</v>
      </c>
      <c r="M46" s="8">
        <f>IFERROR(IF(K46="",G46,K46)*L46,"")</f>
        <v>40.56</v>
      </c>
      <c r="N46" s="1" t="s">
        <v>324</v>
      </c>
      <c r="O46" s="9" t="s">
        <v>290</v>
      </c>
      <c r="X46" s="8">
        <f>IFERROR(LOOKUP(IF(W46="",G46,W46),{0,1,10,100,1000,2500,10000,25000,50000},{0,0.511,0.289,0.124,0.081,0.072,0.064,0.06,0.053}),"")</f>
        <v>0.124</v>
      </c>
      <c r="Y46" s="8">
        <f t="shared" si="15"/>
        <v>31</v>
      </c>
      <c r="Z46" s="1" t="s">
        <v>423</v>
      </c>
      <c r="AA46" s="9" t="s">
        <v>290</v>
      </c>
      <c r="AD46" s="8">
        <f>IFERROR(LOOKUP(IF(AC46="",G46,AC46),{0,1,2500,5000,7500},{0,0.08,0.08,0.072,0.062}),"")</f>
        <v>0.08</v>
      </c>
      <c r="AE46" s="8">
        <f>IFERROR(IF(AC46="",G46,AC46)*AD46,"")</f>
        <v>20</v>
      </c>
      <c r="AF46" s="1" t="s">
        <v>470</v>
      </c>
      <c r="AG46" s="9" t="s">
        <v>290</v>
      </c>
      <c r="AN46" s="1">
        <v>217</v>
      </c>
      <c r="AP46" s="7">
        <v>0.1164</v>
      </c>
      <c r="AQ46" s="8">
        <f t="shared" si="4"/>
        <v>29.1</v>
      </c>
    </row>
    <row r="47" spans="1:45" x14ac:dyDescent="0.25">
      <c r="A47" s="1" t="s">
        <v>163</v>
      </c>
      <c r="B47" s="1" t="s">
        <v>166</v>
      </c>
      <c r="E47" s="1" t="s">
        <v>165</v>
      </c>
      <c r="F47" s="1" t="s">
        <v>164</v>
      </c>
      <c r="G47" s="1">
        <f>BoardQty*1</f>
        <v>250</v>
      </c>
      <c r="H47" s="7">
        <f t="shared" ca="1" si="13"/>
        <v>4.13</v>
      </c>
      <c r="I47" s="8">
        <f t="shared" ca="1" si="14"/>
        <v>1032.5</v>
      </c>
      <c r="R47" s="8">
        <f>IFERROR(LOOKUP(IF(Q47="",G47,Q47),{0,1,100,300},{0,5.48508,4.29452,3.21026}),"")</f>
        <v>4.2945200000000003</v>
      </c>
      <c r="S47" s="8">
        <f>IFERROR(IF(Q47="",G47,Q47)*R47,"")</f>
        <v>1073.6300000000001</v>
      </c>
      <c r="T47" s="1" t="s">
        <v>371</v>
      </c>
      <c r="U47" s="9" t="s">
        <v>290</v>
      </c>
      <c r="X47" s="8">
        <f>IFERROR(LOOKUP(IF(W47="",G47,W47),{0,1,10,50,100,200,500,1000},{0,6.73,5.98,5.43,5.06,4.13,2.89,2.69}),"")</f>
        <v>4.13</v>
      </c>
      <c r="Y47" s="8">
        <f t="shared" si="15"/>
        <v>1032.5</v>
      </c>
      <c r="Z47" s="1" t="s">
        <v>424</v>
      </c>
      <c r="AA47" s="9" t="s">
        <v>290</v>
      </c>
      <c r="AP47" s="7"/>
      <c r="AQ47" s="8">
        <f t="shared" si="4"/>
        <v>0</v>
      </c>
    </row>
    <row r="48" spans="1:45" x14ac:dyDescent="0.25">
      <c r="A48" s="1" t="s">
        <v>167</v>
      </c>
      <c r="B48" s="1" t="s">
        <v>169</v>
      </c>
      <c r="D48" s="1" t="s">
        <v>13</v>
      </c>
      <c r="E48" s="1" t="s">
        <v>52</v>
      </c>
      <c r="F48" s="1" t="s">
        <v>168</v>
      </c>
      <c r="G48" s="1">
        <f>BoardQty*1</f>
        <v>250</v>
      </c>
      <c r="H48" s="7">
        <f t="shared" ca="1" si="13"/>
        <v>1.4E-2</v>
      </c>
      <c r="I48" s="8">
        <f t="shared" ca="1" si="14"/>
        <v>3.5</v>
      </c>
      <c r="J48" s="1">
        <v>46201</v>
      </c>
      <c r="L48" s="8">
        <f>IFERROR(LOOKUP(IF(K48="",G48,K48),{0,1,10,100,500,1000,4000,8000,12000},{0,0.1,0.067,0.03,0.02142,0.01682,0.01227,0.01121,0.01067}),"")</f>
        <v>0.03</v>
      </c>
      <c r="M48" s="8">
        <f>IFERROR(IF(K48="",G48,K48)*L48,"")</f>
        <v>7.5</v>
      </c>
      <c r="N48" s="1" t="s">
        <v>325</v>
      </c>
      <c r="O48" s="9" t="s">
        <v>290</v>
      </c>
      <c r="R48" s="8">
        <f>IFERROR(LOOKUP(IF(Q48="",G48,Q48),{0,1,100,500,1000,2000,4000,20000,40000},{0,0.027638,0.027638,0.0225356,0.0158387,0.014882,0.0093544,0.0091418,0.0068032}),"")</f>
        <v>2.7637999999999999E-2</v>
      </c>
      <c r="S48" s="8">
        <f>IFERROR(IF(Q48="",G48,Q48)*R48,"")</f>
        <v>6.9094999999999995</v>
      </c>
      <c r="T48" s="1" t="s">
        <v>372</v>
      </c>
      <c r="U48" s="9" t="s">
        <v>290</v>
      </c>
      <c r="V48" s="1">
        <v>8092</v>
      </c>
      <c r="X48" s="8">
        <f>IFERROR(LOOKUP(IF(W48="",G48,W48),{0,1,10,100,1000,4000,8000,48000,100000},{0,0.101,0.041,0.018,0.015,0.011,0.009,0.008,0.006}),"")</f>
        <v>1.7999999999999999E-2</v>
      </c>
      <c r="Y48" s="8">
        <f t="shared" si="15"/>
        <v>4.5</v>
      </c>
      <c r="Z48" s="1" t="s">
        <v>425</v>
      </c>
      <c r="AA48" s="9" t="s">
        <v>290</v>
      </c>
      <c r="AD48" s="8">
        <f>IFERROR(LOOKUP(IF(AC48="",G48,AC48),{0,1,10,25,100,250,500,1000,2500},{0,0.044,0.044,0.032,0.018,0.014,0.011,0.008,0.007}),"")</f>
        <v>1.4E-2</v>
      </c>
      <c r="AE48" s="8">
        <f>IFERROR(IF(AC48="",G48,AC48)*AD48,"")</f>
        <v>3.5</v>
      </c>
      <c r="AF48" s="1" t="s">
        <v>471</v>
      </c>
      <c r="AG48" s="9" t="s">
        <v>290</v>
      </c>
      <c r="AN48" s="1">
        <v>2944</v>
      </c>
      <c r="AP48" s="7">
        <v>1.7100000000000001E-2</v>
      </c>
      <c r="AQ48" s="8">
        <f t="shared" si="4"/>
        <v>4.2750000000000004</v>
      </c>
    </row>
    <row r="49" spans="1:45" x14ac:dyDescent="0.25">
      <c r="A49" s="1" t="s">
        <v>170</v>
      </c>
      <c r="B49" s="1" t="s">
        <v>174</v>
      </c>
      <c r="D49" s="1" t="s">
        <v>173</v>
      </c>
      <c r="E49" s="1" t="s">
        <v>172</v>
      </c>
      <c r="F49" s="1" t="s">
        <v>171</v>
      </c>
      <c r="G49" s="1">
        <f>BoardQty*1</f>
        <v>250</v>
      </c>
      <c r="H49" s="7">
        <f t="shared" ca="1" si="13"/>
        <v>0.39700000000000002</v>
      </c>
      <c r="I49" s="8">
        <f t="shared" ca="1" si="14"/>
        <v>99.25</v>
      </c>
      <c r="R49" s="8">
        <f>IFERROR(LOOKUP(IF(Q49="",G49,Q49),{0,1,10,30,80,250,700,2500,7000},{0,0.796187,0.71221,0.640989,0.555949,0.513429,0.503862,0.493232,0.483665}),"")</f>
        <v>0.51342900000000002</v>
      </c>
      <c r="S49" s="8">
        <f>IFERROR(IF(Q49="",G49,Q49)*R49,"")</f>
        <v>128.35724999999999</v>
      </c>
      <c r="T49" s="1" t="s">
        <v>373</v>
      </c>
      <c r="U49" s="9" t="s">
        <v>290</v>
      </c>
      <c r="X49" s="8">
        <v>0.39700000000000002</v>
      </c>
      <c r="Y49" s="8">
        <f t="shared" si="15"/>
        <v>99.25</v>
      </c>
      <c r="Z49" s="1" t="s">
        <v>426</v>
      </c>
      <c r="AA49" s="9" t="s">
        <v>290</v>
      </c>
      <c r="AD49" s="8">
        <f>IFERROR(LOOKUP(IF(AC49="",G49,AC49),{0,1,100,250,500,1000},{0,1.21,1.09,0.981,0.889,0.818}),"")</f>
        <v>0.98099999999999998</v>
      </c>
      <c r="AE49" s="8">
        <f>IFERROR(IF(AC49="",G49,AC49)*AD49,"")</f>
        <v>245.25</v>
      </c>
      <c r="AF49" s="1" t="s">
        <v>472</v>
      </c>
      <c r="AG49" s="9" t="s">
        <v>290</v>
      </c>
      <c r="AN49" s="1">
        <v>1068</v>
      </c>
      <c r="AP49" s="7">
        <v>0.41899999999999998</v>
      </c>
      <c r="AQ49" s="8">
        <f t="shared" si="4"/>
        <v>104.75</v>
      </c>
    </row>
    <row r="50" spans="1:45" x14ac:dyDescent="0.25">
      <c r="A50" s="1" t="s">
        <v>175</v>
      </c>
      <c r="B50" s="1" t="s">
        <v>177</v>
      </c>
      <c r="D50" s="1" t="s">
        <v>53</v>
      </c>
      <c r="E50" s="1" t="s">
        <v>52</v>
      </c>
      <c r="F50" s="1" t="s">
        <v>176</v>
      </c>
      <c r="G50" s="1">
        <f>BoardQty*9</f>
        <v>2250</v>
      </c>
      <c r="H50" s="7">
        <f t="shared" ca="1" si="13"/>
        <v>3.0000000000000001E-3</v>
      </c>
      <c r="I50" s="8">
        <f t="shared" ca="1" si="14"/>
        <v>6.75</v>
      </c>
      <c r="J50" s="1">
        <v>721568</v>
      </c>
      <c r="L50" s="8">
        <f>IFERROR(LOOKUP(IF(K50="",G50,K50),{0,1,10,100,1000,2500,5000,10000,25000,50000,125000},{0,0.1,0.019,0.0076,0.00341,0.00296,0.00245,0.00213,0.00187,0.00171,0.00168}),"")</f>
        <v>3.4099999999999998E-3</v>
      </c>
      <c r="M50" s="8">
        <f>IFERROR(IF(K50="",G50,K50)*L50,"")</f>
        <v>7.6724999999999994</v>
      </c>
      <c r="N50" s="1" t="s">
        <v>326</v>
      </c>
      <c r="O50" s="9" t="s">
        <v>290</v>
      </c>
      <c r="R50" s="8">
        <f>IFERROR(LOOKUP(IF(Q50="",G50,Q50),{0,1,100,500,1000,2500},{0,0.0097796,0.0097796,0.0076536,0.0058465,0.0048898}),"")</f>
        <v>5.8465000000000001E-3</v>
      </c>
      <c r="S50" s="8">
        <f>IFERROR(IF(Q50="",G50,Q50)*R50,"")</f>
        <v>13.154625000000001</v>
      </c>
      <c r="T50" s="1" t="s">
        <v>374</v>
      </c>
      <c r="U50" s="9" t="s">
        <v>290</v>
      </c>
      <c r="V50" s="1">
        <v>118519</v>
      </c>
      <c r="X50" s="8">
        <f>IFERROR(LOOKUP(IF(W50="",G50,W50),{0,1,10,100,1000,5000,10000},{0,0.101,0.013,0.004,0.003,0.003,0.002}),"")</f>
        <v>3.0000000000000001E-3</v>
      </c>
      <c r="Y50" s="8">
        <f t="shared" si="15"/>
        <v>6.75</v>
      </c>
      <c r="Z50" s="1" t="s">
        <v>427</v>
      </c>
      <c r="AA50" s="9" t="s">
        <v>290</v>
      </c>
      <c r="AD50" s="8">
        <f>IFERROR(LOOKUP(IF(AC50="",G50,AC50),{0,1,10,25,100,250,500,1000},{0,0.1,0.018,0.012,0.007,0.005,0.004,0.003}),"")</f>
        <v>3.0000000000000001E-3</v>
      </c>
      <c r="AE50" s="8">
        <f>IFERROR(IF(AC50="",G50,AC50)*AD50,"")</f>
        <v>6.75</v>
      </c>
      <c r="AF50" s="1" t="s">
        <v>473</v>
      </c>
      <c r="AG50" s="9" t="s">
        <v>290</v>
      </c>
      <c r="AH50" s="1">
        <v>8</v>
      </c>
      <c r="AJ50" s="8">
        <f>IFERROR(LOOKUP(IF(AI50="",G50,AI50),{0,1,5},{0,25.70334,21.20685}),"")</f>
        <v>21.206849999999999</v>
      </c>
      <c r="AK50" s="8">
        <f>IFERROR(IF(AI50="",G50,AI50)*AJ50,"")</f>
        <v>47715.412499999999</v>
      </c>
      <c r="AL50" s="1" t="s">
        <v>515</v>
      </c>
      <c r="AM50" s="9" t="s">
        <v>290</v>
      </c>
      <c r="AN50" s="1">
        <v>4041</v>
      </c>
      <c r="AP50" s="7">
        <v>6.7999999999999996E-3</v>
      </c>
      <c r="AQ50" s="8">
        <f t="shared" si="4"/>
        <v>15.299999999999999</v>
      </c>
      <c r="AS50" s="9"/>
    </row>
    <row r="51" spans="1:45" x14ac:dyDescent="0.25">
      <c r="A51" s="1" t="s">
        <v>178</v>
      </c>
      <c r="B51" s="1" t="s">
        <v>181</v>
      </c>
      <c r="D51" s="1" t="s">
        <v>180</v>
      </c>
      <c r="E51" s="1" t="s">
        <v>179</v>
      </c>
      <c r="F51" s="1" t="s">
        <v>543</v>
      </c>
      <c r="G51" s="1">
        <f>BoardQty*1</f>
        <v>250</v>
      </c>
      <c r="H51" s="7">
        <f t="shared" ca="1" si="13"/>
        <v>0.27200000000000002</v>
      </c>
      <c r="I51" s="8">
        <f t="shared" ca="1" si="14"/>
        <v>68</v>
      </c>
      <c r="J51" s="1">
        <v>14494</v>
      </c>
      <c r="L51" s="8">
        <f>IFERROR(LOOKUP(IF(K51="",G51,K51),{0,1,10,100,500,1000,2000,3000},{0,0.93,0.836,0.6515,0.53818,0.42488,0.385,0.385}),"")</f>
        <v>0.65149999999999997</v>
      </c>
      <c r="M51" s="8">
        <f>IFERROR(IF(K51="",G51,K51)*L51,"")</f>
        <v>162.875</v>
      </c>
      <c r="N51" s="1" t="s">
        <v>327</v>
      </c>
      <c r="O51" s="9" t="s">
        <v>290</v>
      </c>
      <c r="R51" s="1">
        <v>0.27200000000000002</v>
      </c>
      <c r="T51" s="1" t="s">
        <v>375</v>
      </c>
      <c r="U51" s="9" t="s">
        <v>290</v>
      </c>
      <c r="AN51" s="1">
        <v>825</v>
      </c>
      <c r="AP51" s="7">
        <v>0.46579999999999999</v>
      </c>
      <c r="AQ51" s="8">
        <f t="shared" si="4"/>
        <v>116.45</v>
      </c>
    </row>
    <row r="52" spans="1:45" x14ac:dyDescent="0.25">
      <c r="A52" s="1" t="s">
        <v>182</v>
      </c>
      <c r="B52" s="1" t="s">
        <v>184</v>
      </c>
      <c r="D52" s="1" t="s">
        <v>53</v>
      </c>
      <c r="E52" s="1" t="s">
        <v>52</v>
      </c>
      <c r="F52" s="1" t="s">
        <v>183</v>
      </c>
      <c r="G52" s="1">
        <f>BoardQty*2</f>
        <v>500</v>
      </c>
      <c r="H52" s="7">
        <f t="shared" ca="1" si="13"/>
        <v>4.0000000000000001E-3</v>
      </c>
      <c r="I52" s="8">
        <f t="shared" ca="1" si="14"/>
        <v>2</v>
      </c>
      <c r="J52" s="1">
        <v>257593</v>
      </c>
      <c r="L52" s="8">
        <f>IFERROR(LOOKUP(IF(K52="",G52,K52),{0,1,10,100,1000,2500,5000,10000,25000,50000,125000},{0,0.1,0.019,0.0076,0.00341,0.00296,0.00245,0.00213,0.00187,0.00171,0.00168}),"")</f>
        <v>7.6E-3</v>
      </c>
      <c r="M52" s="8">
        <f>IFERROR(IF(K52="",G52,K52)*L52,"")</f>
        <v>3.8</v>
      </c>
      <c r="N52" s="1" t="s">
        <v>328</v>
      </c>
      <c r="O52" s="9" t="s">
        <v>290</v>
      </c>
      <c r="R52" s="8">
        <f>IFERROR(LOOKUP(IF(Q52="",G52,Q52),{0,1,100,500,1000,2500},{0,0.0097796,0.0097796,0.0076536,0.0058465,0.0048898}),"")</f>
        <v>7.6536E-3</v>
      </c>
      <c r="S52" s="8">
        <f>IFERROR(IF(Q52="",G52,Q52)*R52,"")</f>
        <v>3.8268</v>
      </c>
      <c r="T52" s="1" t="s">
        <v>376</v>
      </c>
      <c r="U52" s="9" t="s">
        <v>290</v>
      </c>
      <c r="V52" s="1">
        <v>106265</v>
      </c>
      <c r="X52" s="8">
        <f>IFERROR(LOOKUP(IF(W52="",G52,W52),{0,1,10,100,1000,5000,10000},{0,0.101,0.013,0.004,0.003,0.003,0.002}),"")</f>
        <v>4.0000000000000001E-3</v>
      </c>
      <c r="Y52" s="8">
        <f>IFERROR(IF(W52="",G52,W52)*X52,"")</f>
        <v>2</v>
      </c>
      <c r="Z52" s="1" t="s">
        <v>428</v>
      </c>
      <c r="AA52" s="9" t="s">
        <v>290</v>
      </c>
      <c r="AD52" s="8">
        <f>IFERROR(LOOKUP(IF(AC52="",G52,AC52),{0,1,10,25,100,250,500,1000},{0,0.1,0.018,0.012,0.007,0.005,0.004,0.003}),"")</f>
        <v>4.0000000000000001E-3</v>
      </c>
      <c r="AE52" s="8">
        <f>IFERROR(IF(AC52="",G52,AC52)*AD52,"")</f>
        <v>2</v>
      </c>
      <c r="AF52" s="1" t="s">
        <v>474</v>
      </c>
      <c r="AG52" s="9" t="s">
        <v>290</v>
      </c>
      <c r="AH52" s="1">
        <v>2</v>
      </c>
      <c r="AJ52" s="8">
        <f>IFERROR(LOOKUP(IF(AI52="",G52,AI52),{0,1,5},{0,23.36474,19.29345}),"")</f>
        <v>19.29345</v>
      </c>
      <c r="AK52" s="8">
        <f>IFERROR(IF(AI52="",G52,AI52)*AJ52,"")</f>
        <v>9646.7250000000004</v>
      </c>
      <c r="AL52" s="1" t="s">
        <v>516</v>
      </c>
      <c r="AM52" s="9" t="s">
        <v>290</v>
      </c>
      <c r="AN52" s="1">
        <v>458</v>
      </c>
      <c r="AP52" s="7">
        <v>6.7999999999999996E-3</v>
      </c>
      <c r="AQ52" s="8">
        <f t="shared" si="4"/>
        <v>3.4</v>
      </c>
      <c r="AS52" s="9"/>
    </row>
    <row r="53" spans="1:45" x14ac:dyDescent="0.25">
      <c r="A53" s="1" t="s">
        <v>185</v>
      </c>
      <c r="B53" s="1" t="s">
        <v>189</v>
      </c>
      <c r="D53" s="1" t="s">
        <v>188</v>
      </c>
      <c r="E53" s="1" t="s">
        <v>187</v>
      </c>
      <c r="F53" s="1" t="s">
        <v>186</v>
      </c>
      <c r="G53" s="1">
        <f>BoardQty*1</f>
        <v>250</v>
      </c>
      <c r="H53" s="7">
        <f t="shared" ca="1" si="13"/>
        <v>0.19559199999999999</v>
      </c>
      <c r="I53" s="8">
        <f t="shared" ca="1" si="14"/>
        <v>48.897999999999996</v>
      </c>
      <c r="J53" s="1">
        <v>6461</v>
      </c>
      <c r="L53" s="8">
        <f>IFERROR(LOOKUP(IF(K53="",G53,K53),{0,1,25,100,3300},{0,0.28,0.2664,0.256,0.256}),"")</f>
        <v>0.25600000000000001</v>
      </c>
      <c r="M53" s="8">
        <f>IFERROR(IF(K53="",G53,K53)*L53,"")</f>
        <v>64</v>
      </c>
      <c r="N53" s="1" t="s">
        <v>329</v>
      </c>
      <c r="O53" s="9" t="s">
        <v>290</v>
      </c>
      <c r="R53" s="8">
        <f>IFERROR(LOOKUP(IF(Q53="",G53,Q53),{0,1,3300},{0,0.22323,0.22323}),"")</f>
        <v>0.22323000000000001</v>
      </c>
      <c r="S53" s="8">
        <f>IFERROR(IF(Q53="",G53,Q53)*R53,"")</f>
        <v>55.807500000000005</v>
      </c>
      <c r="T53" s="1" t="s">
        <v>377</v>
      </c>
      <c r="U53" s="9" t="s">
        <v>290</v>
      </c>
      <c r="AD53" s="8">
        <f>IFERROR(LOOKUP(IF(AC53="",G53,AC53),{0,1,3300,5000},{0,0.359,0.359,0.325}),"")</f>
        <v>0.35899999999999999</v>
      </c>
      <c r="AE53" s="8">
        <f>IFERROR(IF(AC53="",G53,AC53)*AD53,"")</f>
        <v>89.75</v>
      </c>
      <c r="AF53" s="1" t="s">
        <v>475</v>
      </c>
      <c r="AG53" s="9" t="s">
        <v>290</v>
      </c>
      <c r="AH53" s="1">
        <v>2825</v>
      </c>
      <c r="AJ53" s="8">
        <f>IFERROR(LOOKUP(IF(AI53="",G53,AI53),{0,1,25,250},{0,0.198781,0.198781,0.195592}),"")</f>
        <v>0.19559199999999999</v>
      </c>
      <c r="AK53" s="8">
        <f>IFERROR(IF(AI53="",G53,AI53)*AJ53,"")</f>
        <v>48.897999999999996</v>
      </c>
      <c r="AL53" s="1" t="s">
        <v>517</v>
      </c>
      <c r="AM53" s="9" t="s">
        <v>290</v>
      </c>
      <c r="AN53" s="1">
        <v>93</v>
      </c>
      <c r="AP53" s="7">
        <v>0.26269999999999999</v>
      </c>
      <c r="AQ53" s="8">
        <f t="shared" si="4"/>
        <v>65.674999999999997</v>
      </c>
      <c r="AS53" s="9"/>
    </row>
    <row r="54" spans="1:45" x14ac:dyDescent="0.25">
      <c r="A54" s="1" t="s">
        <v>190</v>
      </c>
      <c r="B54" s="1" t="s">
        <v>192</v>
      </c>
      <c r="D54" s="1" t="s">
        <v>191</v>
      </c>
      <c r="G54" s="1">
        <f>BoardQty*1</f>
        <v>250</v>
      </c>
      <c r="H54" s="7">
        <f t="shared" ca="1" si="13"/>
        <v>2</v>
      </c>
      <c r="I54" s="8">
        <f t="shared" ca="1" si="14"/>
        <v>500</v>
      </c>
      <c r="L54" s="1">
        <v>2</v>
      </c>
      <c r="AP54" s="7"/>
      <c r="AQ54" s="8">
        <f t="shared" si="4"/>
        <v>0</v>
      </c>
    </row>
    <row r="55" spans="1:45" x14ac:dyDescent="0.25">
      <c r="A55" s="1" t="s">
        <v>193</v>
      </c>
      <c r="B55" s="1" t="s">
        <v>195</v>
      </c>
      <c r="D55" s="1" t="s">
        <v>194</v>
      </c>
      <c r="G55" s="1">
        <f>BoardQty*1</f>
        <v>250</v>
      </c>
      <c r="H55" s="7">
        <f t="shared" ca="1" si="13"/>
        <v>0</v>
      </c>
      <c r="I55" s="8">
        <f t="shared" ca="1" si="14"/>
        <v>0</v>
      </c>
      <c r="AP55" s="7"/>
      <c r="AQ55" s="8">
        <f t="shared" si="4"/>
        <v>0</v>
      </c>
    </row>
    <row r="56" spans="1:45" x14ac:dyDescent="0.25">
      <c r="A56" s="1" t="s">
        <v>196</v>
      </c>
      <c r="B56" s="1" t="s">
        <v>200</v>
      </c>
      <c r="D56" s="1" t="s">
        <v>199</v>
      </c>
      <c r="E56" s="1" t="s">
        <v>198</v>
      </c>
      <c r="F56" s="1" t="s">
        <v>197</v>
      </c>
      <c r="G56" s="1">
        <f>BoardQty*6</f>
        <v>1500</v>
      </c>
      <c r="H56" s="7">
        <f t="shared" ca="1" si="13"/>
        <v>0.13300000000000001</v>
      </c>
      <c r="I56" s="8">
        <f t="shared" ca="1" si="14"/>
        <v>199.5</v>
      </c>
      <c r="V56" s="1">
        <v>13865</v>
      </c>
      <c r="X56" s="8">
        <f>IFERROR(LOOKUP(IF(W56="",G56,W56),{0,1,10,25,100,250,500,1000,5000},{0,0.291,0.281,0.258,0.196,0.177,0.151,0.133,0.12}),"")</f>
        <v>0.13300000000000001</v>
      </c>
      <c r="Y56" s="8">
        <f>IFERROR(IF(W56="",G56,W56)*X56,"")</f>
        <v>199.5</v>
      </c>
      <c r="Z56" s="1" t="s">
        <v>429</v>
      </c>
      <c r="AA56" s="9" t="s">
        <v>290</v>
      </c>
      <c r="AN56" s="1">
        <v>4756</v>
      </c>
      <c r="AP56" s="7">
        <v>0.20050000000000001</v>
      </c>
      <c r="AQ56" s="8">
        <f t="shared" si="4"/>
        <v>300.75</v>
      </c>
    </row>
    <row r="57" spans="1:45" x14ac:dyDescent="0.25">
      <c r="A57" s="1" t="s">
        <v>201</v>
      </c>
      <c r="B57" s="1" t="s">
        <v>203</v>
      </c>
      <c r="D57" s="1" t="s">
        <v>202</v>
      </c>
      <c r="G57" s="1">
        <f>BoardQty*1</f>
        <v>250</v>
      </c>
      <c r="H57" s="7">
        <f t="shared" ca="1" si="13"/>
        <v>0</v>
      </c>
      <c r="I57" s="8">
        <f t="shared" ca="1" si="14"/>
        <v>0</v>
      </c>
      <c r="AP57" s="7"/>
      <c r="AQ57" s="8">
        <f t="shared" si="4"/>
        <v>0</v>
      </c>
    </row>
    <row r="58" spans="1:45" x14ac:dyDescent="0.25">
      <c r="A58" s="1" t="s">
        <v>204</v>
      </c>
      <c r="B58" s="1" t="s">
        <v>205</v>
      </c>
      <c r="D58" s="1" t="s">
        <v>206</v>
      </c>
      <c r="E58" s="1" t="s">
        <v>101</v>
      </c>
      <c r="F58" s="1" t="s">
        <v>205</v>
      </c>
      <c r="G58" s="1">
        <f>BoardQty*1</f>
        <v>250</v>
      </c>
      <c r="H58" s="7">
        <f t="shared" ca="1" si="13"/>
        <v>2.7E-2</v>
      </c>
      <c r="I58" s="8">
        <f t="shared" ca="1" si="14"/>
        <v>6.75</v>
      </c>
      <c r="J58" s="1">
        <v>29894</v>
      </c>
      <c r="L58" s="7">
        <f>IFERROR(LOOKUP(IF(K58="",G58,K58),{0,1,10,25,50,100,250,500,1000,4000,8000},{0,0.1,0.062,0.0568,0.051,0.0375,0.02724,0.02498,0.02157,0.01651,0.015}),"")</f>
        <v>2.724E-2</v>
      </c>
      <c r="M58" s="8">
        <f t="shared" ref="M58:M63" si="16">IFERROR(IF(K58="",G58,K58)*L58,"")</f>
        <v>6.8100000000000005</v>
      </c>
      <c r="N58" s="1" t="s">
        <v>330</v>
      </c>
      <c r="O58" s="9" t="s">
        <v>290</v>
      </c>
      <c r="R58" s="8">
        <f>IFERROR(LOOKUP(IF(Q58="",G58,Q58),{0,1,100,500,1000,2000,4000},{0,0.171143,0.171143,0.163702,0.155198,0.147757,0.125434}),"")</f>
        <v>0.17114299999999999</v>
      </c>
      <c r="S58" s="8">
        <f>IFERROR(IF(Q58="",G58,Q58)*R58,"")</f>
        <v>42.78575</v>
      </c>
      <c r="T58" s="1" t="s">
        <v>378</v>
      </c>
      <c r="U58" s="9" t="s">
        <v>290</v>
      </c>
      <c r="V58" s="1">
        <v>9</v>
      </c>
      <c r="X58" s="7">
        <f>IFERROR(LOOKUP(IF(W58="",G58,W58),{0,1,10,25,50,100,250,500,1000,4000},{0,0.101,0.062,0.056,0.052,0.037,0.027,0.024,0.021,0.018}),"")</f>
        <v>2.7E-2</v>
      </c>
      <c r="Y58" s="8">
        <f>IFERROR(IF(W58="",G58,W58)*X58,"")</f>
        <v>6.75</v>
      </c>
      <c r="Z58" s="1" t="s">
        <v>430</v>
      </c>
      <c r="AA58" s="9" t="s">
        <v>290</v>
      </c>
      <c r="AD58" s="8"/>
      <c r="AE58" s="8">
        <f>IFERROR(IF(AC58="",G58,AC58)*AD58,"")</f>
        <v>0</v>
      </c>
      <c r="AF58" s="1" t="s">
        <v>476</v>
      </c>
      <c r="AG58" s="9" t="s">
        <v>290</v>
      </c>
      <c r="AN58" s="1">
        <v>4000</v>
      </c>
      <c r="AP58" s="7">
        <v>3.2399999999999998E-2</v>
      </c>
      <c r="AQ58" s="8">
        <f t="shared" si="4"/>
        <v>8.1</v>
      </c>
    </row>
    <row r="59" spans="1:45" x14ac:dyDescent="0.25">
      <c r="A59" s="1" t="s">
        <v>207</v>
      </c>
      <c r="B59" s="1" t="s">
        <v>211</v>
      </c>
      <c r="D59" s="1" t="s">
        <v>210</v>
      </c>
      <c r="E59" s="1" t="s">
        <v>209</v>
      </c>
      <c r="F59" s="1" t="s">
        <v>208</v>
      </c>
      <c r="G59" s="1">
        <f>BoardQty*4</f>
        <v>1000</v>
      </c>
      <c r="H59" s="7">
        <f t="shared" ca="1" si="13"/>
        <v>0.105</v>
      </c>
      <c r="I59" s="8">
        <f t="shared" ca="1" si="14"/>
        <v>105</v>
      </c>
      <c r="J59" s="1">
        <v>13329</v>
      </c>
      <c r="L59" s="8">
        <f>IFERROR(LOOKUP(IF(K59="",G59,K59),{0,1,10,25,100,250,500,1000,2000,6000,10000,50000,100000},{0,0.42,0.302,0.2464,0.1971,0.16632,0.14168,0.11088,0.1008,0.0952,0.0868,0.07448,0.0714}),"")</f>
        <v>0.11088000000000001</v>
      </c>
      <c r="M59" s="8">
        <f t="shared" si="16"/>
        <v>110.88000000000001</v>
      </c>
      <c r="N59" s="1" t="s">
        <v>331</v>
      </c>
      <c r="O59" s="9" t="s">
        <v>290</v>
      </c>
      <c r="R59" s="8">
        <v>0.14599999999999999</v>
      </c>
      <c r="S59" s="8">
        <f>IFERROR(IF(Q59="",G59,Q59)*R59,"")</f>
        <v>146</v>
      </c>
      <c r="T59" s="1" t="s">
        <v>379</v>
      </c>
      <c r="U59" s="9" t="s">
        <v>290</v>
      </c>
      <c r="V59" s="1">
        <v>9872</v>
      </c>
      <c r="X59" s="8">
        <f>IFERROR(LOOKUP(IF(W59="",G59,W59),{0,1,10,100,1000,2000,10000,24000,50000,100000},{0,0.271,0.172,0.129,0.105,0.094,0.086,0.077,0.073,0.069}),"")</f>
        <v>0.105</v>
      </c>
      <c r="Y59" s="8">
        <f>IFERROR(IF(W59="",G59,W59)*X59,"")</f>
        <v>105</v>
      </c>
      <c r="Z59" s="1" t="s">
        <v>431</v>
      </c>
      <c r="AA59" s="9" t="s">
        <v>290</v>
      </c>
      <c r="AP59" s="7"/>
      <c r="AQ59" s="8">
        <f t="shared" si="4"/>
        <v>0</v>
      </c>
    </row>
    <row r="60" spans="1:45" x14ac:dyDescent="0.25">
      <c r="A60" s="1" t="s">
        <v>212</v>
      </c>
      <c r="B60" s="1" t="s">
        <v>215</v>
      </c>
      <c r="D60" s="1" t="s">
        <v>214</v>
      </c>
      <c r="E60" s="1" t="s">
        <v>142</v>
      </c>
      <c r="F60" s="1" t="s">
        <v>213</v>
      </c>
      <c r="G60" s="1">
        <f>BoardQty*5</f>
        <v>1250</v>
      </c>
      <c r="H60" s="7">
        <f t="shared" ca="1" si="13"/>
        <v>0.78236799999999995</v>
      </c>
      <c r="I60" s="8">
        <f t="shared" ca="1" si="14"/>
        <v>977.95999999999992</v>
      </c>
      <c r="J60" s="1">
        <v>4911</v>
      </c>
      <c r="L60" s="8">
        <f>IFERROR(LOOKUP(IF(K60="",G60,K60),{0,1,10,50,100,500,1000,2000},{0,1.23,1.176,1.098,1.039,1,0.823,0.82301}),"")</f>
        <v>0.82299999999999995</v>
      </c>
      <c r="M60" s="8">
        <f t="shared" si="16"/>
        <v>1028.75</v>
      </c>
      <c r="N60" s="1" t="s">
        <v>332</v>
      </c>
      <c r="O60" s="9" t="s">
        <v>290</v>
      </c>
      <c r="R60" s="8">
        <f>IFERROR(LOOKUP(IF(Q60="",G60,Q60),{0,1,10,50,100,500,1000},{0,1.15867,1.15867,1.07363,1.016228,0.968393,0.782368}),"")</f>
        <v>0.78236799999999995</v>
      </c>
      <c r="S60" s="8">
        <f>IFERROR(IF(Q60="",G60,Q60)*R60,"")</f>
        <v>977.95999999999992</v>
      </c>
      <c r="T60" s="1" t="s">
        <v>380</v>
      </c>
      <c r="U60" s="9" t="s">
        <v>290</v>
      </c>
      <c r="V60" s="1">
        <v>21631</v>
      </c>
      <c r="X60" s="8">
        <f>IFERROR(LOOKUP(IF(W60="",G60,W60),{0,1,10,50,100,500,2000},{0,1.25,1.18,1.1,1.04,1,1}),"")</f>
        <v>1</v>
      </c>
      <c r="Y60" s="8">
        <f>IFERROR(IF(W60="",G60,W60)*X60,"")</f>
        <v>1250</v>
      </c>
      <c r="Z60" s="1" t="s">
        <v>432</v>
      </c>
      <c r="AA60" s="9" t="s">
        <v>290</v>
      </c>
      <c r="AD60" s="8">
        <f>IFERROR(LOOKUP(IF(AC60="",G60,AC60),{0,1,10,25,50,100,250,500},{0,1.23,1.17,1.13,1.09,1.03,1.02,1}),"")</f>
        <v>1</v>
      </c>
      <c r="AE60" s="8">
        <f>IFERROR(IF(AC60="",G60,AC60)*AD60,"")</f>
        <v>1250</v>
      </c>
      <c r="AF60" s="1" t="s">
        <v>477</v>
      </c>
      <c r="AG60" s="9" t="s">
        <v>290</v>
      </c>
      <c r="AH60" s="1">
        <v>165</v>
      </c>
      <c r="AJ60" s="8">
        <f>IFERROR(LOOKUP(IF(AI60="",G60,AI60),{0,1,5,50},{0,1.250088,1.250088,1.162922}),"")</f>
        <v>1.162922</v>
      </c>
      <c r="AK60" s="8">
        <f>IFERROR(IF(AI60="",G60,AI60)*AJ60,"")</f>
        <v>1453.6524999999999</v>
      </c>
      <c r="AL60" s="1" t="s">
        <v>518</v>
      </c>
      <c r="AM60" s="9" t="s">
        <v>290</v>
      </c>
      <c r="AP60" s="7"/>
      <c r="AQ60" s="8">
        <f t="shared" si="4"/>
        <v>0</v>
      </c>
      <c r="AS60" s="9"/>
    </row>
    <row r="61" spans="1:45" x14ac:dyDescent="0.25">
      <c r="A61" s="1" t="s">
        <v>216</v>
      </c>
      <c r="B61" s="1" t="s">
        <v>220</v>
      </c>
      <c r="D61" s="1" t="s">
        <v>219</v>
      </c>
      <c r="E61" s="1" t="s">
        <v>218</v>
      </c>
      <c r="F61" s="1" t="s">
        <v>217</v>
      </c>
      <c r="G61" s="1">
        <f>BoardQty*1</f>
        <v>250</v>
      </c>
      <c r="H61" s="7">
        <f t="shared" ca="1" si="13"/>
        <v>0.153</v>
      </c>
      <c r="I61" s="8">
        <f t="shared" ca="1" si="14"/>
        <v>38.25</v>
      </c>
      <c r="J61" s="1">
        <v>58880</v>
      </c>
      <c r="L61" s="8">
        <f>IFERROR(LOOKUP(IF(K61="",G61,K61),{0,1,10,25,50,100,250,500,1000,2500,5000,12500},{0,0.3,0.247,0.2124,0.1914,0.1701,0.15304,0.1403,0.11904,0.10436,0.10049,0.09662}),"")</f>
        <v>0.15304000000000001</v>
      </c>
      <c r="M61" s="8">
        <f t="shared" si="16"/>
        <v>38.260000000000005</v>
      </c>
      <c r="N61" s="1" t="s">
        <v>333</v>
      </c>
      <c r="O61" s="9" t="s">
        <v>290</v>
      </c>
      <c r="V61" s="1">
        <v>4039</v>
      </c>
      <c r="X61" s="8">
        <f>IFERROR(LOOKUP(IF(W61="",G61,W61),{0,1,10,100,250,500,1000,2500,5000},{0,0.291,0.192,0.17,0.153,0.14,0.12,0.104,0.101}),"")</f>
        <v>0.153</v>
      </c>
      <c r="Y61" s="8">
        <f>IFERROR(IF(W61="",G61,W61)*X61,"")</f>
        <v>38.25</v>
      </c>
      <c r="Z61" s="1" t="s">
        <v>433</v>
      </c>
      <c r="AA61" s="9" t="s">
        <v>290</v>
      </c>
      <c r="AH61" s="1">
        <v>175</v>
      </c>
      <c r="AJ61" s="8">
        <f>IFERROR(LOOKUP(IF(AI61="",G61,AI61),{0,1,25,250},{0,0.197718,0.197718,0.153072}),"")</f>
        <v>0.15307200000000001</v>
      </c>
      <c r="AK61" s="8">
        <f>IFERROR(IF(AI61="",G61,AI61)*AJ61,"")</f>
        <v>38.268000000000001</v>
      </c>
      <c r="AL61" s="1" t="s">
        <v>519</v>
      </c>
      <c r="AM61" s="9" t="s">
        <v>290</v>
      </c>
      <c r="AN61" s="1">
        <v>6153</v>
      </c>
      <c r="AP61" s="7">
        <v>0.1578</v>
      </c>
      <c r="AQ61" s="8">
        <f t="shared" si="4"/>
        <v>39.449999999999996</v>
      </c>
      <c r="AS61" s="9"/>
    </row>
    <row r="62" spans="1:45" x14ac:dyDescent="0.25">
      <c r="A62" s="1" t="s">
        <v>221</v>
      </c>
      <c r="B62" s="1" t="s">
        <v>224</v>
      </c>
      <c r="D62" s="1" t="s">
        <v>223</v>
      </c>
      <c r="E62" s="1" t="s">
        <v>70</v>
      </c>
      <c r="F62" s="1" t="s">
        <v>222</v>
      </c>
      <c r="G62" s="1">
        <f>BoardQty*6</f>
        <v>1500</v>
      </c>
      <c r="H62" s="7">
        <f t="shared" ca="1" si="13"/>
        <v>0.123</v>
      </c>
      <c r="I62" s="8">
        <f t="shared" ca="1" si="14"/>
        <v>184.5</v>
      </c>
      <c r="J62" s="1">
        <v>32426</v>
      </c>
      <c r="L62" s="8">
        <f>IFERROR(LOOKUP(IF(K62="",G62,K62),{0,1,10,100,1000,2500,5000,10000,25000},{0,0.71,0.545,0.2291,0.12638,0.11848,0.10663,0.10426,0.10136}),"")</f>
        <v>0.12637999999999999</v>
      </c>
      <c r="M62" s="8">
        <f t="shared" si="16"/>
        <v>189.57</v>
      </c>
      <c r="N62" s="1" t="s">
        <v>334</v>
      </c>
      <c r="O62" s="9" t="s">
        <v>290</v>
      </c>
      <c r="R62" s="8">
        <f>IFERROR(LOOKUP(IF(Q62="",G62,Q62),{0,1,100,500,1000,2500,5000,25000,50000},{0,0.245553,0.245553,0.183899,0.163702,0.117993,0.113741,0.1035362,0.1015165}),"")</f>
        <v>0.16370199999999999</v>
      </c>
      <c r="S62" s="8">
        <f>IFERROR(IF(Q62="",G62,Q62)*R62,"")</f>
        <v>245.55299999999997</v>
      </c>
      <c r="T62" s="1" t="s">
        <v>381</v>
      </c>
      <c r="U62" s="9" t="s">
        <v>290</v>
      </c>
      <c r="V62" s="1">
        <v>20374</v>
      </c>
      <c r="X62" s="8">
        <f>IFERROR(LOOKUP(IF(W62="",G62,W62),{0,1,10,100,500,1000,5000,10000},{0,0.692,0.3,0.188,0.161,0.123,0.094,0.092}),"")</f>
        <v>0.123</v>
      </c>
      <c r="Y62" s="8">
        <f>IFERROR(IF(W62="",G62,W62)*X62,"")</f>
        <v>184.5</v>
      </c>
      <c r="Z62" s="1" t="s">
        <v>434</v>
      </c>
      <c r="AA62" s="9" t="s">
        <v>290</v>
      </c>
      <c r="AD62" s="8">
        <f>IFERROR(LOOKUP(IF(AC62="",G62,AC62),{0,1,10,25,50,100,250,500,1000},{0,0.299,0.299,0.262,0.225,0.188,0.175,0.161,0.123}),"")</f>
        <v>0.123</v>
      </c>
      <c r="AE62" s="8">
        <f>IFERROR(IF(AC62="",G62,AC62)*AD62,"")</f>
        <v>184.5</v>
      </c>
      <c r="AF62" s="1" t="s">
        <v>478</v>
      </c>
      <c r="AG62" s="9" t="s">
        <v>290</v>
      </c>
      <c r="AH62" s="1">
        <v>2</v>
      </c>
      <c r="AL62" s="1" t="s">
        <v>520</v>
      </c>
      <c r="AM62" s="9" t="s">
        <v>290</v>
      </c>
      <c r="AN62" s="1">
        <v>3558</v>
      </c>
      <c r="AP62" s="7">
        <v>0.67630000000000001</v>
      </c>
      <c r="AQ62" s="8">
        <f t="shared" si="4"/>
        <v>1014.45</v>
      </c>
      <c r="AS62" s="9"/>
    </row>
    <row r="63" spans="1:45" x14ac:dyDescent="0.25">
      <c r="A63" s="1" t="s">
        <v>225</v>
      </c>
      <c r="B63" s="1" t="s">
        <v>228</v>
      </c>
      <c r="D63" s="1" t="s">
        <v>13</v>
      </c>
      <c r="E63" s="1" t="s">
        <v>227</v>
      </c>
      <c r="F63" s="1" t="s">
        <v>226</v>
      </c>
      <c r="G63" s="1">
        <f>BoardQty*8</f>
        <v>2000</v>
      </c>
      <c r="H63" s="7">
        <f t="shared" ca="1" si="13"/>
        <v>8.8228999999999998E-3</v>
      </c>
      <c r="I63" s="8">
        <f t="shared" ca="1" si="14"/>
        <v>17.645800000000001</v>
      </c>
      <c r="J63" s="1">
        <v>877870</v>
      </c>
      <c r="L63" s="8">
        <f>IFERROR(LOOKUP(IF(K63="",G63,K63),{0,1,10,100,500,1000,4000,8000,12000},{0,0.1,0.043,0.0192,0.01374,0.0108,0.00784,0.00716,0.00682}),"")</f>
        <v>1.0800000000000001E-2</v>
      </c>
      <c r="M63" s="8">
        <f t="shared" si="16"/>
        <v>21.6</v>
      </c>
      <c r="N63" s="1" t="s">
        <v>335</v>
      </c>
      <c r="O63" s="9" t="s">
        <v>290</v>
      </c>
      <c r="R63" s="8">
        <f>IFERROR(LOOKUP(IF(Q63="",G63,Q63),{0,1,100,500,1000,2000},{0,0.0187088,0.0187088,0.0145631,0.0100985,0.0088229}),"")</f>
        <v>8.8228999999999998E-3</v>
      </c>
      <c r="S63" s="8">
        <f>IFERROR(IF(Q63="",G63,Q63)*R63,"")</f>
        <v>17.645800000000001</v>
      </c>
      <c r="T63" s="1" t="s">
        <v>382</v>
      </c>
      <c r="U63" s="9" t="s">
        <v>290</v>
      </c>
      <c r="AD63" s="8">
        <f>IFERROR(LOOKUP(IF(AC63="",G63,AC63),{0,1,25,50,100,250,500,1000},{0,0.1,0.023,0.02,0.016,0.015,0.014,0.011}),"")</f>
        <v>1.0999999999999999E-2</v>
      </c>
      <c r="AE63" s="8">
        <f>IFERROR(IF(AC63="",G63,AC63)*AD63,"")</f>
        <v>22</v>
      </c>
      <c r="AF63" s="1" t="s">
        <v>479</v>
      </c>
      <c r="AG63" s="9" t="s">
        <v>290</v>
      </c>
      <c r="AH63" s="1">
        <v>5300</v>
      </c>
      <c r="AJ63" s="8">
        <f>IFERROR(LOOKUP(IF(AI63="",G63,AI63),{0,1,25,125},{0,0.020197,0.020197,0.012756}),"")</f>
        <v>1.2756E-2</v>
      </c>
      <c r="AK63" s="8">
        <f>IFERROR(IF(AI63="",G63,AI63)*AJ63,"")</f>
        <v>25.512</v>
      </c>
      <c r="AL63" s="1" t="s">
        <v>521</v>
      </c>
      <c r="AM63" s="9" t="s">
        <v>290</v>
      </c>
      <c r="AN63" s="1">
        <v>1738</v>
      </c>
      <c r="AP63" s="7">
        <v>1.3299999999999999E-2</v>
      </c>
      <c r="AQ63" s="8">
        <f t="shared" si="4"/>
        <v>26.599999999999998</v>
      </c>
      <c r="AS63" s="9"/>
    </row>
    <row r="64" spans="1:45" x14ac:dyDescent="0.25">
      <c r="A64" s="1" t="s">
        <v>229</v>
      </c>
      <c r="B64" s="1" t="s">
        <v>231</v>
      </c>
      <c r="D64" s="1" t="s">
        <v>230</v>
      </c>
      <c r="G64" s="1">
        <f>BoardQty*1</f>
        <v>250</v>
      </c>
      <c r="H64" s="7">
        <f t="shared" ca="1" si="13"/>
        <v>0</v>
      </c>
      <c r="I64" s="8">
        <f t="shared" ca="1" si="14"/>
        <v>0</v>
      </c>
      <c r="AP64" s="7"/>
      <c r="AQ64" s="8">
        <f t="shared" si="4"/>
        <v>0</v>
      </c>
    </row>
    <row r="65" spans="1:45" x14ac:dyDescent="0.25">
      <c r="A65" s="1" t="s">
        <v>232</v>
      </c>
      <c r="B65" s="1" t="s">
        <v>67</v>
      </c>
      <c r="D65" s="1" t="s">
        <v>233</v>
      </c>
      <c r="G65" s="1">
        <f>BoardQty*1</f>
        <v>250</v>
      </c>
      <c r="H65" s="7">
        <f t="shared" ca="1" si="13"/>
        <v>0</v>
      </c>
      <c r="I65" s="8">
        <f t="shared" ca="1" si="14"/>
        <v>0</v>
      </c>
      <c r="AP65" s="7"/>
      <c r="AQ65" s="8">
        <f t="shared" si="4"/>
        <v>0</v>
      </c>
    </row>
    <row r="66" spans="1:45" x14ac:dyDescent="0.25">
      <c r="A66" s="1" t="s">
        <v>234</v>
      </c>
      <c r="B66" s="1" t="s">
        <v>237</v>
      </c>
      <c r="C66" s="1" t="s">
        <v>238</v>
      </c>
      <c r="D66" s="1" t="s">
        <v>236</v>
      </c>
      <c r="E66" s="1" t="s">
        <v>75</v>
      </c>
      <c r="F66" s="1" t="s">
        <v>235</v>
      </c>
      <c r="G66" s="1">
        <f>BoardQty*1</f>
        <v>250</v>
      </c>
      <c r="H66" s="7">
        <f t="shared" ca="1" si="13"/>
        <v>1.58</v>
      </c>
      <c r="I66" s="8">
        <f t="shared" ca="1" si="14"/>
        <v>395</v>
      </c>
      <c r="J66" s="1">
        <v>27385</v>
      </c>
      <c r="L66" s="8">
        <f>IFERROR(LOOKUP(IF(K66="",G66,K66),{0,1,25,100,250,500,2500},{0,3.18,2.8392,1.908,1.749,1.59,1.59}),"")</f>
        <v>1.7490000000000001</v>
      </c>
      <c r="M66" s="8">
        <f>IFERROR(IF(K66="",G66,K66)*L66,"")</f>
        <v>437.25</v>
      </c>
      <c r="N66" s="1" t="s">
        <v>336</v>
      </c>
      <c r="O66" s="9" t="s">
        <v>290</v>
      </c>
      <c r="R66" s="8">
        <f>IFERROR(LOOKUP(IF(Q66="",G66,Q66),{0,1,25,100},{0,3.38034,2.68939,1.5945}),"")</f>
        <v>1.5945</v>
      </c>
      <c r="S66" s="8">
        <f>IFERROR(IF(Q66="",G66,Q66)*R66,"")</f>
        <v>398.625</v>
      </c>
      <c r="T66" s="1" t="s">
        <v>383</v>
      </c>
      <c r="U66" s="9" t="s">
        <v>290</v>
      </c>
      <c r="AD66" s="8">
        <f>IFERROR(LOOKUP(IF(AC66="",G66,AC66),{0,1,500},{0,1.59,1.59}),"")</f>
        <v>1.59</v>
      </c>
      <c r="AE66" s="8">
        <f>IFERROR(IF(AC66="",G66,AC66)*AD66,"")</f>
        <v>397.5</v>
      </c>
      <c r="AF66" s="1" t="s">
        <v>480</v>
      </c>
      <c r="AG66" s="9" t="s">
        <v>290</v>
      </c>
      <c r="AH66" s="1">
        <v>33</v>
      </c>
      <c r="AJ66" s="8">
        <f>IFERROR(LOOKUP(IF(AI66="",G66,AI66),{0,1,10},{0,2.79569,2.57246}),"")</f>
        <v>2.57246</v>
      </c>
      <c r="AK66" s="8">
        <f>IFERROR(IF(AI66="",G66,AI66)*AJ66,"")</f>
        <v>643.11500000000001</v>
      </c>
      <c r="AL66" s="1" t="s">
        <v>522</v>
      </c>
      <c r="AM66" s="9" t="s">
        <v>290</v>
      </c>
      <c r="AN66" s="1">
        <v>2612</v>
      </c>
      <c r="AP66" s="7">
        <v>1.58</v>
      </c>
      <c r="AQ66" s="8">
        <f t="shared" si="4"/>
        <v>395</v>
      </c>
      <c r="AS66" s="9"/>
    </row>
    <row r="67" spans="1:45" x14ac:dyDescent="0.25">
      <c r="A67" s="1" t="s">
        <v>239</v>
      </c>
      <c r="B67" s="1" t="s">
        <v>243</v>
      </c>
      <c r="D67" s="1" t="s">
        <v>242</v>
      </c>
      <c r="E67" s="1" t="s">
        <v>241</v>
      </c>
      <c r="F67" s="1" t="s">
        <v>240</v>
      </c>
      <c r="G67" s="1">
        <f>BoardQty*3</f>
        <v>750</v>
      </c>
      <c r="H67" s="7">
        <f t="shared" ca="1" si="13"/>
        <v>0.33800000000000002</v>
      </c>
      <c r="I67" s="8">
        <f t="shared" ca="1" si="14"/>
        <v>253.50000000000003</v>
      </c>
      <c r="L67" s="8">
        <f>IFERROR(LOOKUP(IF(K67="",G67,K67),{0,1,10,100,500,1000,2000,4000},{0,1.2,0.949,0.7116,0.53762,0.47438,0.385,0.37125}),"")</f>
        <v>0.53761999999999999</v>
      </c>
      <c r="M67" s="8">
        <f>IFERROR(IF(K67="",G67,K67)*L67,"")</f>
        <v>403.21499999999997</v>
      </c>
      <c r="N67" s="1" t="s">
        <v>337</v>
      </c>
      <c r="O67" s="9" t="s">
        <v>290</v>
      </c>
      <c r="R67" s="8">
        <f>IFERROR(LOOKUP(IF(Q67="",G67,Q67),{0,1,2000,10000,20000},{0,0.352916,0.352916,0.327404,0.321026}),"")</f>
        <v>0.35291600000000001</v>
      </c>
      <c r="S67" s="8">
        <f>IFERROR(IF(Q67="",G67,Q67)*R67,"")</f>
        <v>264.68700000000001</v>
      </c>
      <c r="T67" s="1" t="s">
        <v>384</v>
      </c>
      <c r="U67" s="9" t="s">
        <v>290</v>
      </c>
      <c r="V67" s="1">
        <v>417</v>
      </c>
      <c r="X67" s="8">
        <f>IFERROR(LOOKUP(IF(W67="",G67,W67),{0,1,10,100,500,1000,2000},{0,1.25,1.03,0.601,0.54,0.476,0.339}),"")</f>
        <v>0.54</v>
      </c>
      <c r="Y67" s="8">
        <f>IFERROR(IF(W67="",G67,W67)*X67,"")</f>
        <v>405</v>
      </c>
      <c r="Z67" s="1" t="s">
        <v>435</v>
      </c>
      <c r="AA67" s="9" t="s">
        <v>290</v>
      </c>
      <c r="AD67" s="8">
        <f>IFERROR(LOOKUP(IF(AC67="",G67,AC67),{0,1,2000},{0,0.338,0.338}),"")</f>
        <v>0.33800000000000002</v>
      </c>
      <c r="AE67" s="8">
        <f>IFERROR(IF(AC67="",G67,AC67)*AD67,"")</f>
        <v>253.50000000000003</v>
      </c>
      <c r="AF67" s="1" t="s">
        <v>481</v>
      </c>
      <c r="AG67" s="9" t="s">
        <v>290</v>
      </c>
      <c r="AJ67" s="8">
        <f>IFERROR(LOOKUP(IF(AI67="",G67,AI67),{0,1,5,25},{0,1.379774,1.379774,1.13741}),"")</f>
        <v>1.13741</v>
      </c>
      <c r="AK67" s="8">
        <f>IFERROR(IF(AI67="",G67,AI67)*AJ67,"")</f>
        <v>853.0575</v>
      </c>
      <c r="AL67" s="1" t="s">
        <v>523</v>
      </c>
      <c r="AM67" s="9" t="s">
        <v>290</v>
      </c>
      <c r="AP67" s="7"/>
      <c r="AQ67" s="8">
        <f t="shared" si="4"/>
        <v>0</v>
      </c>
      <c r="AS67" s="9"/>
    </row>
    <row r="68" spans="1:45" x14ac:dyDescent="0.25">
      <c r="A68" s="1" t="s">
        <v>244</v>
      </c>
      <c r="B68" s="1" t="s">
        <v>247</v>
      </c>
      <c r="D68" s="1" t="s">
        <v>246</v>
      </c>
      <c r="E68" s="1" t="s">
        <v>12</v>
      </c>
      <c r="F68" s="1" t="s">
        <v>245</v>
      </c>
      <c r="G68" s="1">
        <f>BoardQty*1</f>
        <v>250</v>
      </c>
      <c r="H68" s="7">
        <f t="shared" ca="1" si="13"/>
        <v>0.11700000000000001</v>
      </c>
      <c r="I68" s="8">
        <f t="shared" ca="1" si="14"/>
        <v>29.25</v>
      </c>
      <c r="J68" s="1">
        <v>56909</v>
      </c>
      <c r="L68" s="8">
        <f>IFERROR(LOOKUP(IF(K68="",G68,K68),{0,1,10,100,500,1000,3000,6000,9000,15000,30000,75000},{0,0.43,0.302,0.1986,0.14708,0.12502,0.1151,0.10871,0.10231,0.09911,0.09592,0.08952}),"")</f>
        <v>0.1986</v>
      </c>
      <c r="M68" s="8">
        <f>IFERROR(IF(K68="",G68,K68)*L68,"")</f>
        <v>49.65</v>
      </c>
      <c r="N68" s="1" t="s">
        <v>338</v>
      </c>
      <c r="O68" s="9" t="s">
        <v>290</v>
      </c>
      <c r="V68" s="1">
        <v>9599</v>
      </c>
      <c r="X68" s="8">
        <f>IFERROR(LOOKUP(IF(W68="",G68,W68),{0,1,10,100,1000,3000,9000,24000,45000,99000},{0,0.482,0.234,0.167,0.128,0.103,0.094,0.091,0.085,0.081}),"")</f>
        <v>0.16700000000000001</v>
      </c>
      <c r="Y68" s="8">
        <f>IFERROR(IF(W68="",G68,W68)*X68,"")</f>
        <v>41.75</v>
      </c>
      <c r="Z68" s="1" t="s">
        <v>436</v>
      </c>
      <c r="AA68" s="9" t="s">
        <v>290</v>
      </c>
      <c r="AD68" s="8">
        <f>IFERROR(LOOKUP(IF(AC68="",G68,AC68),{0,1,3000,6000,9000,15000,30000,75000,150000},{0,0.117,0.117,0.104,0.097,0.096,0.094,0.09,0.089}),"")</f>
        <v>0.11700000000000001</v>
      </c>
      <c r="AE68" s="8">
        <f>IFERROR(IF(AC68="",G68,AC68)*AD68,"")</f>
        <v>29.25</v>
      </c>
      <c r="AF68" s="1" t="s">
        <v>482</v>
      </c>
      <c r="AG68" s="9" t="s">
        <v>290</v>
      </c>
      <c r="AJ68" s="8">
        <f>IFERROR(LOOKUP(IF(AI68="",G68,AI68),{0,1,50,500,1000},{0,0.177521,0.177521,0.167954,0.15945}),"")</f>
        <v>0.17752100000000001</v>
      </c>
      <c r="AK68" s="8">
        <f>IFERROR(IF(AI68="",G68,AI68)*AJ68,"")</f>
        <v>44.380250000000004</v>
      </c>
      <c r="AL68" s="1" t="s">
        <v>524</v>
      </c>
      <c r="AM68" s="9" t="s">
        <v>290</v>
      </c>
      <c r="AN68" s="1">
        <v>3678</v>
      </c>
      <c r="AP68" s="7">
        <v>0.17510000000000001</v>
      </c>
      <c r="AQ68" s="8">
        <f t="shared" si="4"/>
        <v>43.774999999999999</v>
      </c>
      <c r="AS68" s="9"/>
    </row>
    <row r="69" spans="1:45" x14ac:dyDescent="0.25">
      <c r="A69" s="1" t="s">
        <v>248</v>
      </c>
      <c r="B69" s="1" t="s">
        <v>250</v>
      </c>
      <c r="D69" s="1" t="s">
        <v>249</v>
      </c>
      <c r="G69" s="1">
        <f>BoardQty*1</f>
        <v>250</v>
      </c>
      <c r="H69" s="7">
        <f t="shared" ca="1" si="13"/>
        <v>0</v>
      </c>
      <c r="I69" s="8">
        <f t="shared" ca="1" si="14"/>
        <v>0</v>
      </c>
      <c r="AP69" s="7"/>
      <c r="AQ69" s="8">
        <f t="shared" si="4"/>
        <v>0</v>
      </c>
    </row>
    <row r="70" spans="1:45" x14ac:dyDescent="0.25">
      <c r="A70" s="1" t="s">
        <v>251</v>
      </c>
      <c r="B70" s="1" t="s">
        <v>253</v>
      </c>
      <c r="D70" s="1" t="s">
        <v>53</v>
      </c>
      <c r="E70" s="1" t="s">
        <v>52</v>
      </c>
      <c r="F70" s="1" t="s">
        <v>252</v>
      </c>
      <c r="G70" s="1">
        <f>BoardQty*2</f>
        <v>500</v>
      </c>
      <c r="H70" s="7">
        <f t="shared" ca="1" si="13"/>
        <v>4.0000000000000001E-3</v>
      </c>
      <c r="I70" s="8">
        <f t="shared" ca="1" si="14"/>
        <v>2</v>
      </c>
      <c r="J70" s="1">
        <v>243058</v>
      </c>
      <c r="L70" s="8">
        <f>IFERROR(LOOKUP(IF(K70="",G70,K70),{0,1,10,100,1000,2500,5000,10000,25000,50000,125000},{0,0.1,0.019,0.0076,0.00341,0.00296,0.00245,0.00213,0.00187,0.00171,0.00168}),"")</f>
        <v>7.6E-3</v>
      </c>
      <c r="M70" s="8">
        <f>IFERROR(IF(K70="",G70,K70)*L70,"")</f>
        <v>3.8</v>
      </c>
      <c r="N70" s="1" t="s">
        <v>339</v>
      </c>
      <c r="O70" s="9" t="s">
        <v>290</v>
      </c>
      <c r="R70" s="8">
        <f>IFERROR(LOOKUP(IF(Q70="",G70,Q70),{0,1,100,500,1000,2500},{0,0.0111615,0.0111615,0.0083977,0.0066969,0.0055276}),"")</f>
        <v>8.3976999999999993E-3</v>
      </c>
      <c r="S70" s="8">
        <f>IFERROR(IF(Q70="",G70,Q70)*R70,"")</f>
        <v>4.1988499999999993</v>
      </c>
      <c r="T70" s="1" t="s">
        <v>385</v>
      </c>
      <c r="U70" s="9" t="s">
        <v>290</v>
      </c>
      <c r="V70" s="1">
        <v>39670</v>
      </c>
      <c r="X70" s="8">
        <f>IFERROR(LOOKUP(IF(W70="",G70,W70),{0,1,10,100,1000,5000,10000},{0,0.101,0.013,0.004,0.003,0.003,0.002}),"")</f>
        <v>4.0000000000000001E-3</v>
      </c>
      <c r="Y70" s="8">
        <f>IFERROR(IF(W70="",G70,W70)*X70,"")</f>
        <v>2</v>
      </c>
      <c r="Z70" s="1" t="s">
        <v>437</v>
      </c>
      <c r="AA70" s="9" t="s">
        <v>290</v>
      </c>
      <c r="AD70" s="8">
        <f>IFERROR(LOOKUP(IF(AC70="",G70,AC70),{0,1,10,25,100,250,500,1000},{0,0.1,0.018,0.012,0.007,0.005,0.004,0.003}),"")</f>
        <v>4.0000000000000001E-3</v>
      </c>
      <c r="AE70" s="8">
        <f>IFERROR(IF(AC70="",G70,AC70)*AD70,"")</f>
        <v>2</v>
      </c>
      <c r="AF70" s="1" t="s">
        <v>483</v>
      </c>
      <c r="AG70" s="9" t="s">
        <v>290</v>
      </c>
      <c r="AH70" s="1">
        <v>13</v>
      </c>
      <c r="AJ70" s="8">
        <f>IFERROR(LOOKUP(IF(AI70="",G70,AI70),{0,1,2,3,4,5},{0,14.92452,6.01658,5.8465,5.6339,5.48508}),"")</f>
        <v>5.48508</v>
      </c>
      <c r="AK70" s="8">
        <f>IFERROR(IF(AI70="",G70,AI70)*AJ70,"")</f>
        <v>2742.54</v>
      </c>
      <c r="AL70" s="1" t="s">
        <v>525</v>
      </c>
      <c r="AM70" s="9" t="s">
        <v>290</v>
      </c>
      <c r="AN70" s="1">
        <v>220</v>
      </c>
      <c r="AP70" s="7">
        <v>7.1000000000000004E-3</v>
      </c>
      <c r="AQ70" s="8">
        <f t="shared" si="4"/>
        <v>3.5500000000000003</v>
      </c>
      <c r="AS70" s="9"/>
    </row>
    <row r="71" spans="1:45" x14ac:dyDescent="0.25">
      <c r="A71" s="1" t="s">
        <v>254</v>
      </c>
      <c r="B71" s="1" t="s">
        <v>256</v>
      </c>
      <c r="D71" s="1" t="s">
        <v>53</v>
      </c>
      <c r="E71" s="1" t="s">
        <v>52</v>
      </c>
      <c r="F71" s="1" t="s">
        <v>255</v>
      </c>
      <c r="G71" s="1">
        <f>BoardQty*1</f>
        <v>250</v>
      </c>
      <c r="H71" s="7">
        <f t="shared" ref="H71:H78" ca="1" si="17">MINA(INDIRECT(ADDRESS(ROW(),COLUMN(newark_part_data)+2)),INDIRECT(ADDRESS(ROW(),COLUMN(digikey_part_data)+2)),INDIRECT(ADDRESS(ROW(),COLUMN(rs_part_data)+2)),INDIRECT(ADDRESS(ROW(),COLUMN(farnell_part_data)+2)),INDIRECT(ADDRESS(ROW(),COLUMN(mouser_part_data)+2)),INDIRECT(ADDRESS(ROW(),COLUMN($AN$5:$AS$80)+2)))</f>
        <v>5.0000000000000001E-3</v>
      </c>
      <c r="I71" s="8">
        <f t="shared" ref="I71:I78" ca="1" si="18">IFERROR(G71*H71,"")</f>
        <v>1.25</v>
      </c>
      <c r="J71" s="1">
        <v>424076</v>
      </c>
      <c r="L71" s="8">
        <f>IFERROR(LOOKUP(IF(K71="",G71,K71),{0,1,10,100,1000,2500,5000,10000,25000,50000,125000},{0,0.1,0.019,0.0076,0.00341,0.00296,0.00245,0.00213,0.00187,0.00171,0.00168}),"")</f>
        <v>7.6E-3</v>
      </c>
      <c r="M71" s="8">
        <f>IFERROR(IF(K71="",G71,K71)*L71,"")</f>
        <v>1.9</v>
      </c>
      <c r="N71" s="1" t="s">
        <v>340</v>
      </c>
      <c r="O71" s="9" t="s">
        <v>290</v>
      </c>
      <c r="R71" s="8">
        <f>IFERROR(LOOKUP(IF(Q71="",G71,Q71),{0,1,100,500,1000,2500},{0,0.0097796,0.0097796,0.0076536,0.0058465,0.0048898}),"")</f>
        <v>9.7795999999999994E-3</v>
      </c>
      <c r="S71" s="8">
        <f>IFERROR(IF(Q71="",G71,Q71)*R71,"")</f>
        <v>2.4448999999999996</v>
      </c>
      <c r="T71" s="1" t="s">
        <v>386</v>
      </c>
      <c r="U71" s="9" t="s">
        <v>290</v>
      </c>
      <c r="AD71" s="8">
        <f>IFERROR(LOOKUP(IF(AC71="",G71,AC71),{0,1,10,25,100,250,500,1000},{0,0.1,0.018,0.012,0.007,0.005,0.004,0.003}),"")</f>
        <v>5.0000000000000001E-3</v>
      </c>
      <c r="AE71" s="8">
        <f>IFERROR(IF(AC71="",G71,AC71)*AD71,"")</f>
        <v>1.25</v>
      </c>
      <c r="AF71" s="1" t="s">
        <v>484</v>
      </c>
      <c r="AG71" s="9" t="s">
        <v>290</v>
      </c>
      <c r="AH71" s="1">
        <v>9</v>
      </c>
      <c r="AJ71" s="8">
        <f>IFERROR(LOOKUP(IF(AI71="",G71,AI71),{0,1,2,3,4,5},{0,14.47806,6.01658,5.8465,5.6339,5.48508}),"")</f>
        <v>5.48508</v>
      </c>
      <c r="AK71" s="8">
        <f>IFERROR(IF(AI71="",G71,AI71)*AJ71,"")</f>
        <v>1371.27</v>
      </c>
      <c r="AL71" s="1" t="s">
        <v>526</v>
      </c>
      <c r="AM71" s="9" t="s">
        <v>290</v>
      </c>
      <c r="AN71" s="1">
        <v>4176</v>
      </c>
      <c r="AP71" s="7">
        <v>6.7999999999999996E-3</v>
      </c>
      <c r="AQ71" s="8">
        <f t="shared" si="4"/>
        <v>1.7</v>
      </c>
      <c r="AS71" s="9"/>
    </row>
    <row r="72" spans="1:45" x14ac:dyDescent="0.25">
      <c r="A72" s="1" t="s">
        <v>257</v>
      </c>
      <c r="B72" s="1" t="s">
        <v>259</v>
      </c>
      <c r="D72" s="1" t="s">
        <v>53</v>
      </c>
      <c r="E72" s="1" t="s">
        <v>52</v>
      </c>
      <c r="F72" s="1" t="s">
        <v>258</v>
      </c>
      <c r="G72" s="1">
        <f>BoardQty*1</f>
        <v>250</v>
      </c>
      <c r="H72" s="7">
        <f t="shared" ca="1" si="17"/>
        <v>4.0000000000000001E-3</v>
      </c>
      <c r="I72" s="8">
        <f t="shared" ca="1" si="18"/>
        <v>1</v>
      </c>
      <c r="J72" s="1">
        <v>186442</v>
      </c>
      <c r="L72" s="8">
        <f>IFERROR(LOOKUP(IF(K72="",G72,K72),{0,1,10,100,1000,2500,5000,10000,25000,50000,125000},{0,0.1,0.019,0.0076,0.00341,0.00296,0.00245,0.00213,0.00187,0.00171,0.00168}),"")</f>
        <v>7.6E-3</v>
      </c>
      <c r="M72" s="8">
        <f>IFERROR(IF(K72="",G72,K72)*L72,"")</f>
        <v>1.9</v>
      </c>
      <c r="N72" s="1" t="s">
        <v>341</v>
      </c>
      <c r="O72" s="9" t="s">
        <v>290</v>
      </c>
      <c r="R72" s="8">
        <f>IFERROR(LOOKUP(IF(Q72="",G72,Q72),{0,1,100,500,1000,2500},{0,0.0098859,0.0098859,0.0076536,0.0059528,0.0049961}),"")</f>
        <v>9.8858999999999995E-3</v>
      </c>
      <c r="S72" s="8">
        <f>IFERROR(IF(Q72="",G72,Q72)*R72,"")</f>
        <v>2.4714749999999999</v>
      </c>
      <c r="T72" s="1" t="s">
        <v>387</v>
      </c>
      <c r="U72" s="9" t="s">
        <v>290</v>
      </c>
      <c r="V72" s="1">
        <v>13578</v>
      </c>
      <c r="X72" s="8">
        <f>IFERROR(LOOKUP(IF(W72="",G72,W72),{0,1,10,100,1000,5000,10000},{0,0.101,0.013,0.004,0.003,0.003,0.002}),"")</f>
        <v>4.0000000000000001E-3</v>
      </c>
      <c r="Y72" s="8">
        <f>IFERROR(IF(W72="",G72,W72)*X72,"")</f>
        <v>1</v>
      </c>
      <c r="Z72" s="1" t="s">
        <v>438</v>
      </c>
      <c r="AA72" s="9" t="s">
        <v>290</v>
      </c>
      <c r="AD72" s="8">
        <f>IFERROR(LOOKUP(IF(AC72="",G72,AC72),{0,1,10,25,100,250,1000},{0,0.013,0.013,0.013,0.008,0.005,0.004}),"")</f>
        <v>5.0000000000000001E-3</v>
      </c>
      <c r="AE72" s="8">
        <f>IFERROR(IF(AC72="",G72,AC72)*AD72,"")</f>
        <v>1.25</v>
      </c>
      <c r="AF72" s="1" t="s">
        <v>485</v>
      </c>
      <c r="AG72" s="9" t="s">
        <v>290</v>
      </c>
      <c r="AN72" s="1">
        <v>4368</v>
      </c>
      <c r="AP72" s="7">
        <v>7.7999999999999996E-3</v>
      </c>
      <c r="AQ72" s="8">
        <f t="shared" ref="AQ72:AQ80" si="19">IFERROR(IF(AO72="",G72,AO72)*AP72,"")</f>
        <v>1.95</v>
      </c>
    </row>
    <row r="73" spans="1:45" x14ac:dyDescent="0.25">
      <c r="A73" s="1" t="s">
        <v>260</v>
      </c>
      <c r="B73" s="1" t="s">
        <v>263</v>
      </c>
      <c r="D73" s="1" t="s">
        <v>53</v>
      </c>
      <c r="E73" s="1" t="s">
        <v>262</v>
      </c>
      <c r="F73" s="1" t="s">
        <v>261</v>
      </c>
      <c r="G73" s="1">
        <f>BoardQty*1</f>
        <v>250</v>
      </c>
      <c r="H73" s="7">
        <f t="shared" ca="1" si="17"/>
        <v>4.0000000000000001E-3</v>
      </c>
      <c r="I73" s="8">
        <f t="shared" ca="1" si="18"/>
        <v>1</v>
      </c>
      <c r="R73" s="8">
        <f>IFERROR(LOOKUP(IF(Q73="",G73,Q73),{0,1,100,500,1000,2500},{0,0.0043583,0.0043583,0.0030827,0.0024449,0.0020197}),"")</f>
        <v>4.3582999999999998E-3</v>
      </c>
      <c r="S73" s="8">
        <f>IFERROR(IF(Q73="",G73,Q73)*R73,"")</f>
        <v>1.089575</v>
      </c>
      <c r="T73" s="1" t="s">
        <v>388</v>
      </c>
      <c r="U73" s="9" t="s">
        <v>290</v>
      </c>
      <c r="AD73" s="8">
        <f>IFERROR(LOOKUP(IF(AC73="",G73,AC73),{0,1,5000,10000,25000},{0,0.004,0.004,0.003,0.002}),"")</f>
        <v>4.0000000000000001E-3</v>
      </c>
      <c r="AE73" s="8">
        <f>IFERROR(IF(AC73="",G73,AC73)*AD73,"")</f>
        <v>1</v>
      </c>
      <c r="AF73" s="1" t="s">
        <v>486</v>
      </c>
      <c r="AG73" s="9" t="s">
        <v>290</v>
      </c>
      <c r="AP73" s="7"/>
      <c r="AQ73" s="8">
        <f t="shared" si="19"/>
        <v>0</v>
      </c>
    </row>
    <row r="74" spans="1:45" x14ac:dyDescent="0.25">
      <c r="A74" s="1" t="s">
        <v>264</v>
      </c>
      <c r="B74" s="1" t="s">
        <v>268</v>
      </c>
      <c r="D74" s="1" t="s">
        <v>267</v>
      </c>
      <c r="E74" s="1" t="s">
        <v>266</v>
      </c>
      <c r="F74" s="1" t="s">
        <v>265</v>
      </c>
      <c r="G74" s="1">
        <f>BoardQty*6</f>
        <v>1500</v>
      </c>
      <c r="H74" s="7">
        <f t="shared" ca="1" si="17"/>
        <v>0.76642299999999997</v>
      </c>
      <c r="I74" s="8">
        <f t="shared" ca="1" si="18"/>
        <v>1149.6344999999999</v>
      </c>
      <c r="J74" s="1">
        <v>624</v>
      </c>
      <c r="L74" s="8">
        <f>IFERROR(LOOKUP(IF(K74="",G74,K74),{0,1,10,50,100},{0,1.35,1.121,0.9868,0.8073}),"")</f>
        <v>0.80730000000000002</v>
      </c>
      <c r="M74" s="8">
        <f>IFERROR(IF(K74="",G74,K74)*L74,"")</f>
        <v>1210.95</v>
      </c>
      <c r="N74" s="1" t="s">
        <v>342</v>
      </c>
      <c r="O74" s="9" t="s">
        <v>290</v>
      </c>
      <c r="R74" s="8">
        <f>IFERROR(LOOKUP(IF(Q74="",G74,Q74),{0,1,10,25,100,150,250,1000,1500},{0,1.33938,1.11615,0.958826,0.801502,0.794061,0.785557,0.769612,0.766423}),"")</f>
        <v>0.76642299999999997</v>
      </c>
      <c r="S74" s="8">
        <f>IFERROR(IF(Q74="",G74,Q74)*R74,"")</f>
        <v>1149.6344999999999</v>
      </c>
      <c r="T74" s="1" t="s">
        <v>389</v>
      </c>
      <c r="U74" s="9" t="s">
        <v>290</v>
      </c>
      <c r="V74" s="1">
        <v>826</v>
      </c>
      <c r="X74" s="8">
        <f>IFERROR(LOOKUP(IF(W74="",G74,W74),{0,1,10,50,100},{0,1.31,1.09,0.961,0.786}),"")</f>
        <v>0.78600000000000003</v>
      </c>
      <c r="Y74" s="8">
        <f>IFERROR(IF(W74="",G74,W74)*X74,"")</f>
        <v>1179</v>
      </c>
      <c r="Z74" s="1" t="s">
        <v>439</v>
      </c>
      <c r="AA74" s="9" t="s">
        <v>290</v>
      </c>
      <c r="AD74" s="8">
        <f>IFERROR(LOOKUP(IF(AC74="",G74,AC74),{0,1,10,25,50,100,500,1000,2500},{0,1.89,1.55,1.43,1.31,1.16,1.04,0.917,0.812}),"")</f>
        <v>0.91700000000000004</v>
      </c>
      <c r="AE74" s="8">
        <f>IFERROR(IF(AC74="",G74,AC74)*AD74,"")</f>
        <v>1375.5</v>
      </c>
      <c r="AF74" s="1" t="s">
        <v>487</v>
      </c>
      <c r="AG74" s="9" t="s">
        <v>290</v>
      </c>
      <c r="AP74" s="7"/>
      <c r="AQ74" s="8">
        <f t="shared" si="19"/>
        <v>0</v>
      </c>
    </row>
    <row r="75" spans="1:45" x14ac:dyDescent="0.25">
      <c r="A75" s="1" t="s">
        <v>269</v>
      </c>
      <c r="B75" s="1" t="s">
        <v>271</v>
      </c>
      <c r="D75" s="1" t="s">
        <v>270</v>
      </c>
      <c r="G75" s="1">
        <f>BoardQty*2</f>
        <v>500</v>
      </c>
      <c r="H75" s="7">
        <f t="shared" ca="1" si="17"/>
        <v>0</v>
      </c>
      <c r="I75" s="8">
        <f t="shared" ca="1" si="18"/>
        <v>0</v>
      </c>
      <c r="AP75" s="7"/>
      <c r="AQ75" s="8">
        <f t="shared" si="19"/>
        <v>0</v>
      </c>
    </row>
    <row r="76" spans="1:45" x14ac:dyDescent="0.25">
      <c r="A76" s="1" t="s">
        <v>272</v>
      </c>
      <c r="B76" s="1" t="s">
        <v>274</v>
      </c>
      <c r="D76" s="1" t="s">
        <v>53</v>
      </c>
      <c r="E76" s="1" t="s">
        <v>70</v>
      </c>
      <c r="F76" s="1" t="s">
        <v>273</v>
      </c>
      <c r="G76" s="1">
        <f>BoardQty*1</f>
        <v>250</v>
      </c>
      <c r="H76" s="7">
        <f t="shared" ca="1" si="17"/>
        <v>8.0000000000000002E-3</v>
      </c>
      <c r="I76" s="8">
        <f t="shared" ca="1" si="18"/>
        <v>2</v>
      </c>
      <c r="J76" s="1">
        <v>79530</v>
      </c>
      <c r="L76" s="8">
        <f>IFERROR(LOOKUP(IF(K76="",G76,K76),{0,1,10,100,1000,2500,5000,10000,25000,50000,125000},{0,0.1,0.041,0.0167,0.00749,0.0065,0.00537,0.00466,0.0041,0.00376,0.00368}),"")</f>
        <v>1.67E-2</v>
      </c>
      <c r="M76" s="8">
        <f>IFERROR(IF(K76="",G76,K76)*L76,"")</f>
        <v>4.1749999999999998</v>
      </c>
      <c r="N76" s="1" t="s">
        <v>343</v>
      </c>
      <c r="O76" s="9" t="s">
        <v>290</v>
      </c>
      <c r="R76" s="8">
        <f>IFERROR(LOOKUP(IF(Q76="",G76,Q76),{0,1,100,500,1000,2500},{0,0.0139253,0.0139253,0.0130749,0.0089292,0.007441}),"")</f>
        <v>1.39253E-2</v>
      </c>
      <c r="S76" s="8">
        <f>IFERROR(IF(Q76="",G76,Q76)*R76,"")</f>
        <v>3.481325</v>
      </c>
      <c r="T76" s="1" t="s">
        <v>390</v>
      </c>
      <c r="U76" s="9" t="s">
        <v>290</v>
      </c>
      <c r="V76" s="1">
        <v>31165</v>
      </c>
      <c r="X76" s="8">
        <f>IFERROR(LOOKUP(IF(W76="",G76,W76),{0,1,10,100,1000,5000,25000},{0,0.101,0.022,0.009,0.007,0.004,0.003}),"")</f>
        <v>8.9999999999999993E-3</v>
      </c>
      <c r="Y76" s="8">
        <f>IFERROR(IF(W76="",G76,W76)*X76,"")</f>
        <v>2.25</v>
      </c>
      <c r="Z76" s="1" t="s">
        <v>440</v>
      </c>
      <c r="AA76" s="9" t="s">
        <v>290</v>
      </c>
      <c r="AD76" s="8">
        <f>IFERROR(LOOKUP(IF(AC76="",G76,AC76),{0,1,25,50,100,250,500,1000},{0,0.1,0.022,0.016,0.009,0.008,0.008,0.007}),"")</f>
        <v>8.0000000000000002E-3</v>
      </c>
      <c r="AE76" s="8">
        <f>IFERROR(IF(AC76="",G76,AC76)*AD76,"")</f>
        <v>2</v>
      </c>
      <c r="AF76" s="1" t="s">
        <v>488</v>
      </c>
      <c r="AG76" s="9" t="s">
        <v>290</v>
      </c>
      <c r="AJ76" s="8">
        <f>IFERROR(LOOKUP(IF(AI76="",G76,AI76),{0,1,3,5},{0,0.58465,0.56339,0.54213}),"")</f>
        <v>0.54213</v>
      </c>
      <c r="AK76" s="8">
        <f>IFERROR(IF(AI76="",G76,AI76)*AJ76,"")</f>
        <v>135.5325</v>
      </c>
      <c r="AL76" s="1" t="s">
        <v>527</v>
      </c>
      <c r="AM76" s="9" t="s">
        <v>290</v>
      </c>
      <c r="AN76" s="1">
        <v>4579</v>
      </c>
      <c r="AP76" s="7">
        <v>1.03E-2</v>
      </c>
      <c r="AQ76" s="8">
        <f t="shared" si="19"/>
        <v>2.5750000000000002</v>
      </c>
      <c r="AS76" s="9"/>
    </row>
    <row r="77" spans="1:45" x14ac:dyDescent="0.25">
      <c r="A77" s="1" t="s">
        <v>275</v>
      </c>
      <c r="B77" s="1" t="s">
        <v>277</v>
      </c>
      <c r="D77" s="1" t="s">
        <v>13</v>
      </c>
      <c r="E77" s="1" t="s">
        <v>130</v>
      </c>
      <c r="F77" s="1" t="s">
        <v>276</v>
      </c>
      <c r="G77" s="1">
        <f>BoardQty*2</f>
        <v>500</v>
      </c>
      <c r="H77" s="7">
        <f t="shared" ca="1" si="17"/>
        <v>5.1999999999999998E-3</v>
      </c>
      <c r="I77" s="8">
        <f t="shared" ca="1" si="18"/>
        <v>2.6</v>
      </c>
      <c r="J77" s="1">
        <v>177389</v>
      </c>
      <c r="L77" s="8">
        <f>IFERROR(LOOKUP(IF(K77="",G77,K77),{0,1,10,100,500,1000,4000,8000,12000},{0,0.1,0.048,0.0216,0.0154,0.0121,0.01012,0.00924,0.0088}),"")</f>
        <v>1.54E-2</v>
      </c>
      <c r="M77" s="8">
        <f>IFERROR(IF(K77="",G77,K77)*L77,"")</f>
        <v>7.7</v>
      </c>
      <c r="N77" s="1" t="s">
        <v>344</v>
      </c>
      <c r="O77" s="9" t="s">
        <v>290</v>
      </c>
      <c r="AH77" s="1">
        <v>1</v>
      </c>
      <c r="AJ77" s="8">
        <f>IFERROR(LOOKUP(IF(AI77="",G77,AI77),{0,1,3,5,10,25},{0,14.53121,13.79774,13.0749,12.35206,11.61859}),"")</f>
        <v>11.618589999999999</v>
      </c>
      <c r="AK77" s="8">
        <f>IFERROR(IF(AI77="",G77,AI77)*AJ77,"")</f>
        <v>5809.2950000000001</v>
      </c>
      <c r="AL77" s="1" t="s">
        <v>528</v>
      </c>
      <c r="AM77" s="9" t="s">
        <v>290</v>
      </c>
      <c r="AN77" s="1">
        <v>704</v>
      </c>
      <c r="AP77" s="7">
        <v>5.1999999999999998E-3</v>
      </c>
      <c r="AQ77" s="8">
        <f t="shared" si="19"/>
        <v>2.6</v>
      </c>
      <c r="AS77" s="9"/>
    </row>
    <row r="78" spans="1:45" x14ac:dyDescent="0.25">
      <c r="A78" s="1" t="s">
        <v>278</v>
      </c>
      <c r="B78" s="1" t="s">
        <v>281</v>
      </c>
      <c r="D78" s="1" t="s">
        <v>280</v>
      </c>
      <c r="E78" s="1" t="s">
        <v>44</v>
      </c>
      <c r="F78" s="1" t="s">
        <v>279</v>
      </c>
      <c r="G78" s="1">
        <f>BoardQty*1</f>
        <v>250</v>
      </c>
      <c r="H78" s="7">
        <f t="shared" ca="1" si="17"/>
        <v>2.7000199999999999</v>
      </c>
      <c r="I78" s="8">
        <f t="shared" ca="1" si="18"/>
        <v>675.005</v>
      </c>
      <c r="J78" s="1">
        <v>597</v>
      </c>
      <c r="L78" s="8">
        <f>IFERROR(LOOKUP(IF(K78="",G78,K78),{0,1,10,100,250,500,1000,1250,2500},{0,3.86,3.47,2.8431,2.873,2.42028,2.0412,1.7475,1.51875}),"")</f>
        <v>2.8730000000000002</v>
      </c>
      <c r="M78" s="8">
        <f>IFERROR(IF(K78="",G78,K78)*L78,"")</f>
        <v>718.25</v>
      </c>
      <c r="N78" s="1" t="s">
        <v>345</v>
      </c>
      <c r="O78" s="9" t="s">
        <v>290</v>
      </c>
      <c r="R78" s="8">
        <f>IFERROR(LOOKUP(IF(Q78="",G78,Q78),{0,1,10,100,250,500,1000,2000,4000},{0,4.32641,3.07207,2.84884,2.70002,2.42364,2.08348,2.05159,1.89214}),"")</f>
        <v>2.7000199999999999</v>
      </c>
      <c r="S78" s="8">
        <f>IFERROR(IF(Q78="",G78,Q78)*R78,"")</f>
        <v>675.005</v>
      </c>
      <c r="T78" s="1" t="s">
        <v>391</v>
      </c>
      <c r="U78" s="9" t="s">
        <v>290</v>
      </c>
      <c r="AD78" s="8">
        <f>IFERROR(LOOKUP(IF(AC78="",G78,AC78),{0,1,10,25,100,250,500,1000},{0,3.9,3.5,3.37,2.87,2.72,2.44,1.84}),"")</f>
        <v>2.72</v>
      </c>
      <c r="AE78" s="8">
        <f>IFERROR(IF(AC78="",G78,AC78)*AD78,"")</f>
        <v>680</v>
      </c>
      <c r="AF78" s="1" t="s">
        <v>489</v>
      </c>
      <c r="AG78" s="9" t="s">
        <v>290</v>
      </c>
      <c r="AH78" s="1">
        <v>27</v>
      </c>
      <c r="AJ78" s="8">
        <f>IFERROR(LOOKUP(IF(AI78="",G78,AI78),{0,1,5,10},{0,3.46538,3.189,2.92325}),"")</f>
        <v>2.9232499999999999</v>
      </c>
      <c r="AK78" s="8">
        <f>IFERROR(IF(AI78="",G78,AI78)*AJ78,"")</f>
        <v>730.8125</v>
      </c>
      <c r="AL78" s="1" t="s">
        <v>529</v>
      </c>
      <c r="AM78" s="9" t="s">
        <v>290</v>
      </c>
      <c r="AN78" s="1" t="s">
        <v>542</v>
      </c>
      <c r="AP78" s="7"/>
      <c r="AQ78" s="8">
        <f t="shared" si="19"/>
        <v>0</v>
      </c>
      <c r="AS78" s="9"/>
    </row>
    <row r="79" spans="1:45" x14ac:dyDescent="0.25">
      <c r="D79" s="1" t="s">
        <v>531</v>
      </c>
      <c r="G79" s="1">
        <f>BoardQty*1</f>
        <v>250</v>
      </c>
      <c r="H79" s="7">
        <f>L79</f>
        <v>30.619999999999997</v>
      </c>
      <c r="I79" s="8">
        <f t="shared" ref="I79:I80" si="20">IFERROR(G79*H79,"")</f>
        <v>7654.9999999999991</v>
      </c>
      <c r="L79" s="11">
        <f>L80+L81+L82+L83</f>
        <v>30.619999999999997</v>
      </c>
      <c r="AP79" s="7"/>
      <c r="AQ79" s="8">
        <f t="shared" si="19"/>
        <v>0</v>
      </c>
    </row>
    <row r="80" spans="1:45" x14ac:dyDescent="0.25">
      <c r="D80" s="1" t="s">
        <v>545</v>
      </c>
      <c r="E80" s="1" t="s">
        <v>544</v>
      </c>
      <c r="G80" s="1">
        <f>BoardQty*1</f>
        <v>250</v>
      </c>
      <c r="H80" s="7">
        <f>L80</f>
        <v>4.0999999999999996</v>
      </c>
      <c r="I80" s="8">
        <f t="shared" si="20"/>
        <v>1025</v>
      </c>
      <c r="K80" s="1" t="str">
        <f t="array" ref="K80">IFERROR(CONCATENATE(TEXT(INDEX($K$7:$K$78,SMALL(IF($N$7:$N$78&lt;&gt;"",IF($K$7:$K$78&lt;&gt;"",ROW($K$7:$K$78)-MIN(ROW($K$7:$K$78))+1,""),""),ROW()-ROW(A$80)+1)),"##0"),","),"")</f>
        <v/>
      </c>
      <c r="L80" s="8">
        <f>IFERROR(LOOKUP(IF(K80="",G80,K80),{0,1,10,50,100,150,200,250,300,400,500,1000},{0,103.6,54.4,14.2,7.9,6.2,5.4,4.1,3.7,2.8,2.2,1.51875}),"")</f>
        <v>4.0999999999999996</v>
      </c>
      <c r="M80" s="1" t="str">
        <f t="array" ref="M80">IFERROR(CONCATENATE((INDEX($A$7:$A$78,SMALL(IF($N$7:$N$78&lt;&gt;"",IF($K$7:$K$78&lt;&gt;"",ROW($K$7:$K$78)-MIN(ROW($K$7:$K$78))+1,""),""),ROW()-ROW(A$80)+1))),),"")</f>
        <v/>
      </c>
      <c r="Q80" s="1" t="str">
        <f t="array" ref="Q80">IFERROR(CONCATENATE((INDEX($T$7:$T$78,SMALL(IF($T$7:$T$78&lt;&gt;"",IF($Q$7:$Q$78&lt;&gt;"",ROW($Q$7:$Q$78)-MIN(ROW($Q$7:$Q$78))+1,""),""),ROW()-ROW(A$80)+1)))," "),"")</f>
        <v/>
      </c>
      <c r="R80" s="1" t="str">
        <f t="array" ref="R80">IFERROR(CONCATENATE(TEXT(INDEX($Q$7:$Q$78,SMALL(IF($T$7:$T$78&lt;&gt;"",IF($Q$7:$Q$78&lt;&gt;"",ROW($Q$7:$Q$78)-MIN(ROW($Q$7:$Q$78))+1,""),""),ROW()-ROW(A$80)+1)),"##0")," "),"")</f>
        <v/>
      </c>
      <c r="S80" s="1" t="str">
        <f t="array" ref="S80">IFERROR(CONCATENATE((INDEX($A$7:$A$78,SMALL(IF($T$7:$T$78&lt;&gt;"",IF($Q$7:$Q$78&lt;&gt;"",ROW($Q$7:$Q$78)-MIN(ROW($Q$7:$Q$78))+1,""),""),ROW()-ROW(A$80)+1))),),"")</f>
        <v/>
      </c>
      <c r="W80" s="1" t="str">
        <f t="array" ref="W80">IFERROR(CONCATENATE((INDEX($Z$7:$Z$78,SMALL(IF($Z$7:$Z$78&lt;&gt;"",IF($W$7:$W$78&lt;&gt;"",ROW($W$7:$W$78)-MIN(ROW($W$7:$W$78))+1,""),""),ROW()-ROW(A$80)+1)))," "),"")</f>
        <v/>
      </c>
      <c r="X80" s="1" t="str">
        <f t="array" ref="X80">IFERROR(CONCATENATE(TEXT(INDEX($W$7:$W$78,SMALL(IF($Z$7:$Z$78&lt;&gt;"",IF($W$7:$W$78&lt;&gt;"",ROW($W$7:$W$78)-MIN(ROW($W$7:$W$78))+1,""),""),ROW()-ROW(A$80)+1)),"##0")," "),"")</f>
        <v/>
      </c>
      <c r="Y80" s="1" t="str">
        <f t="array" ref="Y80">IFERROR(CONCATENATE((INDEX($A$7:$A$78,SMALL(IF($Z$7:$Z$78&lt;&gt;"",IF($W$7:$W$78&lt;&gt;"",ROW($W$7:$W$78)-MIN(ROW($W$7:$W$78))+1,""),""),ROW()-ROW(A$80)+1))),),"")</f>
        <v/>
      </c>
      <c r="AC80" s="1" t="str">
        <f t="array" ref="AC80">IFERROR(CONCATENATE((INDEX($AF$7:$AF$78,SMALL(IF($AF$7:$AF$78&lt;&gt;"",IF($AC$7:$AC$78&lt;&gt;"",ROW($AC$7:$AC$78)-MIN(ROW($AC$7:$AC$78))+1,""),""),ROW()-ROW(A$80)+1))),","),"")</f>
        <v/>
      </c>
      <c r="AD80" s="1" t="str">
        <f t="array" ref="AD80">IFERROR(CONCATENATE(TEXT(INDEX($AC$7:$AC$78,SMALL(IF($AF$7:$AF$78&lt;&gt;"",IF($AC$7:$AC$78&lt;&gt;"",ROW($AC$7:$AC$78)-MIN(ROW($AC$7:$AC$78))+1,""),""),ROW()-ROW(A$80)+1)),"##0"),","),"")</f>
        <v/>
      </c>
      <c r="AE80" s="1" t="str">
        <f t="array" ref="AE80">IFERROR(CONCATENATE((INDEX($A$7:$A$78,SMALL(IF($AF$7:$AF$78&lt;&gt;"",IF($AC$7:$AC$78&lt;&gt;"",ROW($AC$7:$AC$78)-MIN(ROW($AC$7:$AC$78))+1,""),""),ROW()-ROW(A$80)+1))),),"")</f>
        <v/>
      </c>
      <c r="AI80" s="1" t="str">
        <f t="array" ref="AI80">IFERROR(CONCATENATE((INDEX($AL$7:$AL$78,SMALL(IF($AL$7:$AL$78&lt;&gt;"",IF($AI$7:$AI$78&lt;&gt;"",ROW($AI$7:$AI$78)-MIN(ROW($AI$7:$AI$78))+1,""),""),ROW()-ROW(A$80)+1)))," "),"")</f>
        <v/>
      </c>
      <c r="AJ80" s="1" t="str">
        <f t="array" ref="AJ80">IFERROR(CONCATENATE(TEXT(INDEX($AI$7:$AI$78,SMALL(IF($AL$7:$AL$78&lt;&gt;"",IF($AI$7:$AI$78&lt;&gt;"",ROW($AI$7:$AI$78)-MIN(ROW($AI$7:$AI$78))+1,""),""),ROW()-ROW(A$80)+1)),"##0")," "),"")</f>
        <v/>
      </c>
      <c r="AK80" s="1" t="str">
        <f t="array" ref="AK80">IFERROR(CONCATENATE((INDEX($A$7:$A$78,SMALL(IF($AL$7:$AL$78&lt;&gt;"",IF($AI$7:$AI$78&lt;&gt;"",ROW($AI$7:$AI$78)-MIN(ROW($AI$7:$AI$78))+1,""),""),ROW()-ROW(A$80)+1))),),"")</f>
        <v/>
      </c>
      <c r="AO80" s="1" t="str">
        <f t="array" ref="AO80">IFERROR(CONCATENATE((INDEX($AL$7:$AL$78,SMALL(IF($AL$7:$AL$78&lt;&gt;"",IF($AI$7:$AI$78&lt;&gt;"",ROW($AI$7:$AI$78)-MIN(ROW($AI$7:$AI$78))+1,""),""),ROW()-ROW(G$80)+1)))," "),"")</f>
        <v/>
      </c>
      <c r="AP80" s="7"/>
      <c r="AQ80" s="8">
        <f t="shared" si="19"/>
        <v>0</v>
      </c>
    </row>
    <row r="81" spans="3:37" x14ac:dyDescent="0.25">
      <c r="D81" s="1" t="s">
        <v>530</v>
      </c>
      <c r="E81" s="1" t="s">
        <v>539</v>
      </c>
      <c r="K81" s="1" t="str">
        <f t="array" ref="K81">IFERROR(CONCATENATE(TEXT(INDEX($K$7:$K$78,SMALL(IF($N$7:$N$78&lt;&gt;"",IF($K$7:$K$78&lt;&gt;"",ROW($K$7:$K$78)-MIN(ROW($K$7:$K$78))+1,""),""),ROW()-ROW(A$80)+1)),"##0"),","),"")</f>
        <v/>
      </c>
      <c r="L81" s="8">
        <v>11.52</v>
      </c>
      <c r="M81" s="1" t="str">
        <f t="array" ref="M81">IFERROR(CONCATENATE((INDEX($A$7:$A$78,SMALL(IF($N$7:$N$78&lt;&gt;"",IF($K$7:$K$78&lt;&gt;"",ROW($K$7:$K$78)-MIN(ROW($K$7:$K$78))+1,""),""),ROW()-ROW(A$80)+1))),),"")</f>
        <v/>
      </c>
      <c r="Q81" s="1" t="str">
        <f t="array" ref="Q81">IFERROR(CONCATENATE((INDEX($T$7:$T$78,SMALL(IF($T$7:$T$78&lt;&gt;"",IF($Q$7:$Q$78&lt;&gt;"",ROW($Q$7:$Q$78)-MIN(ROW($Q$7:$Q$78))+1,""),""),ROW()-ROW(A$80)+1)))," "),"")</f>
        <v/>
      </c>
      <c r="R81" s="1" t="str">
        <f t="array" ref="R81">IFERROR(CONCATENATE(TEXT(INDEX($Q$7:$Q$78,SMALL(IF($T$7:$T$78&lt;&gt;"",IF($Q$7:$Q$78&lt;&gt;"",ROW($Q$7:$Q$78)-MIN(ROW($Q$7:$Q$78))+1,""),""),ROW()-ROW(A$80)+1)),"##0")," "),"")</f>
        <v/>
      </c>
      <c r="S81" s="1" t="str">
        <f t="array" ref="S81">IFERROR(CONCATENATE((INDEX($A$7:$A$78,SMALL(IF($T$7:$T$78&lt;&gt;"",IF($Q$7:$Q$78&lt;&gt;"",ROW($Q$7:$Q$78)-MIN(ROW($Q$7:$Q$78))+1,""),""),ROW()-ROW(A$80)+1))),),"")</f>
        <v/>
      </c>
      <c r="W81" s="1" t="str">
        <f t="array" ref="W81">IFERROR(CONCATENATE((INDEX($Z$7:$Z$78,SMALL(IF($Z$7:$Z$78&lt;&gt;"",IF($W$7:$W$78&lt;&gt;"",ROW($W$7:$W$78)-MIN(ROW($W$7:$W$78))+1,""),""),ROW()-ROW(A$80)+1)))," "),"")</f>
        <v/>
      </c>
      <c r="X81" s="1" t="str">
        <f t="array" ref="X81">IFERROR(CONCATENATE(TEXT(INDEX($W$7:$W$78,SMALL(IF($Z$7:$Z$78&lt;&gt;"",IF($W$7:$W$78&lt;&gt;"",ROW($W$7:$W$78)-MIN(ROW($W$7:$W$78))+1,""),""),ROW()-ROW(A$80)+1)),"##0")," "),"")</f>
        <v/>
      </c>
      <c r="Y81" s="1" t="str">
        <f t="array" ref="Y81">IFERROR(CONCATENATE((INDEX($A$7:$A$78,SMALL(IF($Z$7:$Z$78&lt;&gt;"",IF($W$7:$W$78&lt;&gt;"",ROW($W$7:$W$78)-MIN(ROW($W$7:$W$78))+1,""),""),ROW()-ROW(A$80)+1))),),"")</f>
        <v/>
      </c>
      <c r="AC81" s="1" t="str">
        <f t="array" ref="AC81">IFERROR(CONCATENATE((INDEX($AF$7:$AF$78,SMALL(IF($AF$7:$AF$78&lt;&gt;"",IF($AC$7:$AC$78&lt;&gt;"",ROW($AC$7:$AC$78)-MIN(ROW($AC$7:$AC$78))+1,""),""),ROW()-ROW(A$80)+1))),","),"")</f>
        <v/>
      </c>
      <c r="AD81" s="1" t="str">
        <f t="array" ref="AD81">IFERROR(CONCATENATE(TEXT(INDEX($AC$7:$AC$78,SMALL(IF($AF$7:$AF$78&lt;&gt;"",IF($AC$7:$AC$78&lt;&gt;"",ROW($AC$7:$AC$78)-MIN(ROW($AC$7:$AC$78))+1,""),""),ROW()-ROW(A$80)+1)),"##0"),","),"")</f>
        <v/>
      </c>
      <c r="AE81" s="1" t="str">
        <f t="array" ref="AE81">IFERROR(CONCATENATE((INDEX($A$7:$A$78,SMALL(IF($AF$7:$AF$78&lt;&gt;"",IF($AC$7:$AC$78&lt;&gt;"",ROW($AC$7:$AC$78)-MIN(ROW($AC$7:$AC$78))+1,""),""),ROW()-ROW(A$80)+1))),),"")</f>
        <v/>
      </c>
      <c r="AI81" s="1" t="str">
        <f t="array" ref="AI81">IFERROR(CONCATENATE((INDEX($AL$7:$AL$78,SMALL(IF($AL$7:$AL$78&lt;&gt;"",IF($AI$7:$AI$78&lt;&gt;"",ROW($AI$7:$AI$78)-MIN(ROW($AI$7:$AI$78))+1,""),""),ROW()-ROW(A$80)+1)))," "),"")</f>
        <v/>
      </c>
      <c r="AJ81" s="1" t="str">
        <f t="array" ref="AJ81">IFERROR(CONCATENATE(TEXT(INDEX($AI$7:$AI$78,SMALL(IF($AL$7:$AL$78&lt;&gt;"",IF($AI$7:$AI$78&lt;&gt;"",ROW($AI$7:$AI$78)-MIN(ROW($AI$7:$AI$78))+1,""),""),ROW()-ROW(A$80)+1)),"##0")," "),"")</f>
        <v/>
      </c>
      <c r="AK81" s="1" t="str">
        <f t="array" ref="AK81">IFERROR(CONCATENATE((INDEX($A$7:$A$78,SMALL(IF($AL$7:$AL$78&lt;&gt;"",IF($AI$7:$AI$78&lt;&gt;"",ROW($AI$7:$AI$78)-MIN(ROW($AI$7:$AI$78))+1,""),""),ROW()-ROW(A$80)+1))),),"")</f>
        <v/>
      </c>
    </row>
    <row r="82" spans="3:37" x14ac:dyDescent="0.25">
      <c r="D82" s="1" t="s">
        <v>540</v>
      </c>
      <c r="K82" s="1" t="str">
        <f t="array" ref="K82">IFERROR(CONCATENATE(TEXT(INDEX($K$7:$K$78,SMALL(IF($N$7:$N$78&lt;&gt;"",IF($K$7:$K$78&lt;&gt;"",ROW($K$7:$K$78)-MIN(ROW($K$7:$K$78))+1,""),""),ROW()-ROW(A$80)+1)),"##0"),","),"")</f>
        <v/>
      </c>
      <c r="L82" s="8">
        <v>15</v>
      </c>
      <c r="M82" s="1" t="str">
        <f t="array" ref="M82">IFERROR(CONCATENATE((INDEX($A$7:$A$78,SMALL(IF($N$7:$N$78&lt;&gt;"",IF($K$7:$K$78&lt;&gt;"",ROW($K$7:$K$78)-MIN(ROW($K$7:$K$78))+1,""),""),ROW()-ROW(A$80)+1))),),"")</f>
        <v/>
      </c>
      <c r="Q82" s="1" t="str">
        <f t="array" ref="Q82">IFERROR(CONCATENATE((INDEX($T$7:$T$78,SMALL(IF($T$7:$T$78&lt;&gt;"",IF($Q$7:$Q$78&lt;&gt;"",ROW($Q$7:$Q$78)-MIN(ROW($Q$7:$Q$78))+1,""),""),ROW()-ROW(A$80)+1)))," "),"")</f>
        <v/>
      </c>
      <c r="R82" s="1" t="str">
        <f t="array" ref="R82">IFERROR(CONCATENATE(TEXT(INDEX($Q$7:$Q$78,SMALL(IF($T$7:$T$78&lt;&gt;"",IF($Q$7:$Q$78&lt;&gt;"",ROW($Q$7:$Q$78)-MIN(ROW($Q$7:$Q$78))+1,""),""),ROW()-ROW(A$80)+1)),"##0")," "),"")</f>
        <v/>
      </c>
      <c r="S82" s="1" t="str">
        <f t="array" ref="S82">IFERROR(CONCATENATE((INDEX($A$7:$A$78,SMALL(IF($T$7:$T$78&lt;&gt;"",IF($Q$7:$Q$78&lt;&gt;"",ROW($Q$7:$Q$78)-MIN(ROW($Q$7:$Q$78))+1,""),""),ROW()-ROW(A$80)+1))),),"")</f>
        <v/>
      </c>
      <c r="W82" s="1" t="str">
        <f t="array" ref="W82">IFERROR(CONCATENATE((INDEX($Z$7:$Z$78,SMALL(IF($Z$7:$Z$78&lt;&gt;"",IF($W$7:$W$78&lt;&gt;"",ROW($W$7:$W$78)-MIN(ROW($W$7:$W$78))+1,""),""),ROW()-ROW(A$80)+1)))," "),"")</f>
        <v/>
      </c>
      <c r="X82" s="1" t="str">
        <f t="array" ref="X82">IFERROR(CONCATENATE(TEXT(INDEX($W$7:$W$78,SMALL(IF($Z$7:$Z$78&lt;&gt;"",IF($W$7:$W$78&lt;&gt;"",ROW($W$7:$W$78)-MIN(ROW($W$7:$W$78))+1,""),""),ROW()-ROW(A$80)+1)),"##0")," "),"")</f>
        <v/>
      </c>
      <c r="Y82" s="1" t="str">
        <f t="array" ref="Y82">IFERROR(CONCATENATE((INDEX($A$7:$A$78,SMALL(IF($Z$7:$Z$78&lt;&gt;"",IF($W$7:$W$78&lt;&gt;"",ROW($W$7:$W$78)-MIN(ROW($W$7:$W$78))+1,""),""),ROW()-ROW(A$80)+1))),),"")</f>
        <v/>
      </c>
      <c r="AC82" s="1" t="str">
        <f t="array" ref="AC82">IFERROR(CONCATENATE((INDEX($AF$7:$AF$78,SMALL(IF($AF$7:$AF$78&lt;&gt;"",IF($AC$7:$AC$78&lt;&gt;"",ROW($AC$7:$AC$78)-MIN(ROW($AC$7:$AC$78))+1,""),""),ROW()-ROW(A$80)+1))),","),"")</f>
        <v/>
      </c>
      <c r="AD82" s="1" t="str">
        <f t="array" ref="AD82">IFERROR(CONCATENATE(TEXT(INDEX($AC$7:$AC$78,SMALL(IF($AF$7:$AF$78&lt;&gt;"",IF($AC$7:$AC$78&lt;&gt;"",ROW($AC$7:$AC$78)-MIN(ROW($AC$7:$AC$78))+1,""),""),ROW()-ROW(A$80)+1)),"##0"),","),"")</f>
        <v/>
      </c>
      <c r="AE82" s="1" t="str">
        <f t="array" ref="AE82">IFERROR(CONCATENATE((INDEX($A$7:$A$78,SMALL(IF($AF$7:$AF$78&lt;&gt;"",IF($AC$7:$AC$78&lt;&gt;"",ROW($AC$7:$AC$78)-MIN(ROW($AC$7:$AC$78))+1,""),""),ROW()-ROW(A$80)+1))),),"")</f>
        <v/>
      </c>
      <c r="AI82" s="1" t="str">
        <f t="array" ref="AI82">IFERROR(CONCATENATE((INDEX($AL$7:$AL$78,SMALL(IF($AL$7:$AL$78&lt;&gt;"",IF($AI$7:$AI$78&lt;&gt;"",ROW($AI$7:$AI$78)-MIN(ROW($AI$7:$AI$78))+1,""),""),ROW()-ROW(A$80)+1)))," "),"")</f>
        <v/>
      </c>
      <c r="AJ82" s="1" t="str">
        <f t="array" ref="AJ82">IFERROR(CONCATENATE(TEXT(INDEX($AI$7:$AI$78,SMALL(IF($AL$7:$AL$78&lt;&gt;"",IF($AI$7:$AI$78&lt;&gt;"",ROW($AI$7:$AI$78)-MIN(ROW($AI$7:$AI$78))+1,""),""),ROW()-ROW(A$80)+1)),"##0")," "),"")</f>
        <v/>
      </c>
      <c r="AK82" s="1" t="str">
        <f t="array" ref="AK82">IFERROR(CONCATENATE((INDEX($A$7:$A$78,SMALL(IF($AL$7:$AL$78&lt;&gt;"",IF($AI$7:$AI$78&lt;&gt;"",ROW($AI$7:$AI$78)-MIN(ROW($AI$7:$AI$78))+1,""),""),ROW()-ROW(A$80)+1))),),"")</f>
        <v/>
      </c>
    </row>
    <row r="83" spans="3:37" x14ac:dyDescent="0.25">
      <c r="E83" s="1" t="s">
        <v>546</v>
      </c>
      <c r="I83" s="1">
        <v>65</v>
      </c>
      <c r="K83" s="1" t="str">
        <f t="array" ref="K83">IFERROR(CONCATENATE(TEXT(INDEX($K$7:$K$78,SMALL(IF($N$7:$N$78&lt;&gt;"",IF($K$7:$K$78&lt;&gt;"",ROW($K$7:$K$78)-MIN(ROW($K$7:$K$78))+1,""),""),ROW()-ROW(A$80)+1)),"##0"),","),"")</f>
        <v/>
      </c>
      <c r="M83" s="1" t="str">
        <f t="array" ref="M83">IFERROR(CONCATENATE((INDEX($A$7:$A$78,SMALL(IF($N$7:$N$78&lt;&gt;"",IF($K$7:$K$78&lt;&gt;"",ROW($K$7:$K$78)-MIN(ROW($K$7:$K$78))+1,""),""),ROW()-ROW(A$80)+1))),),"")</f>
        <v/>
      </c>
      <c r="Q83" s="1" t="str">
        <f t="array" ref="Q83">IFERROR(CONCATENATE((INDEX($T$7:$T$78,SMALL(IF($T$7:$T$78&lt;&gt;"",IF($Q$7:$Q$78&lt;&gt;"",ROW($Q$7:$Q$78)-MIN(ROW($Q$7:$Q$78))+1,""),""),ROW()-ROW(A$80)+1)))," "),"")</f>
        <v/>
      </c>
      <c r="R83" s="1" t="str">
        <f t="array" ref="R83">IFERROR(CONCATENATE(TEXT(INDEX($Q$7:$Q$78,SMALL(IF($T$7:$T$78&lt;&gt;"",IF($Q$7:$Q$78&lt;&gt;"",ROW($Q$7:$Q$78)-MIN(ROW($Q$7:$Q$78))+1,""),""),ROW()-ROW(A$80)+1)),"##0")," "),"")</f>
        <v/>
      </c>
      <c r="S83" s="1" t="str">
        <f t="array" ref="S83">IFERROR(CONCATENATE((INDEX($A$7:$A$78,SMALL(IF($T$7:$T$78&lt;&gt;"",IF($Q$7:$Q$78&lt;&gt;"",ROW($Q$7:$Q$78)-MIN(ROW($Q$7:$Q$78))+1,""),""),ROW()-ROW(A$80)+1))),),"")</f>
        <v/>
      </c>
      <c r="W83" s="1" t="str">
        <f t="array" ref="W83">IFERROR(CONCATENATE((INDEX($Z$7:$Z$78,SMALL(IF($Z$7:$Z$78&lt;&gt;"",IF($W$7:$W$78&lt;&gt;"",ROW($W$7:$W$78)-MIN(ROW($W$7:$W$78))+1,""),""),ROW()-ROW(A$80)+1)))," "),"")</f>
        <v/>
      </c>
      <c r="X83" s="1" t="str">
        <f t="array" ref="X83">IFERROR(CONCATENATE(TEXT(INDEX($W$7:$W$78,SMALL(IF($Z$7:$Z$78&lt;&gt;"",IF($W$7:$W$78&lt;&gt;"",ROW($W$7:$W$78)-MIN(ROW($W$7:$W$78))+1,""),""),ROW()-ROW(A$80)+1)),"##0")," "),"")</f>
        <v/>
      </c>
      <c r="Y83" s="1" t="str">
        <f t="array" ref="Y83">IFERROR(CONCATENATE((INDEX($A$7:$A$78,SMALL(IF($Z$7:$Z$78&lt;&gt;"",IF($W$7:$W$78&lt;&gt;"",ROW($W$7:$W$78)-MIN(ROW($W$7:$W$78))+1,""),""),ROW()-ROW(A$80)+1))),),"")</f>
        <v/>
      </c>
      <c r="AC83" s="1" t="str">
        <f t="array" ref="AC83">IFERROR(CONCATENATE((INDEX($AF$7:$AF$78,SMALL(IF($AF$7:$AF$78&lt;&gt;"",IF($AC$7:$AC$78&lt;&gt;"",ROW($AC$7:$AC$78)-MIN(ROW($AC$7:$AC$78))+1,""),""),ROW()-ROW(A$80)+1))),","),"")</f>
        <v/>
      </c>
      <c r="AD83" s="1" t="str">
        <f t="array" ref="AD83">IFERROR(CONCATENATE(TEXT(INDEX($AC$7:$AC$78,SMALL(IF($AF$7:$AF$78&lt;&gt;"",IF($AC$7:$AC$78&lt;&gt;"",ROW($AC$7:$AC$78)-MIN(ROW($AC$7:$AC$78))+1,""),""),ROW()-ROW(A$80)+1)),"##0"),","),"")</f>
        <v/>
      </c>
      <c r="AE83" s="1" t="str">
        <f t="array" ref="AE83">IFERROR(CONCATENATE((INDEX($A$7:$A$78,SMALL(IF($AF$7:$AF$78&lt;&gt;"",IF($AC$7:$AC$78&lt;&gt;"",ROW($AC$7:$AC$78)-MIN(ROW($AC$7:$AC$78))+1,""),""),ROW()-ROW(A$80)+1))),),"")</f>
        <v/>
      </c>
      <c r="AI83" s="1" t="str">
        <f t="array" ref="AI83">IFERROR(CONCATENATE((INDEX($AL$7:$AL$78,SMALL(IF($AL$7:$AL$78&lt;&gt;"",IF($AI$7:$AI$78&lt;&gt;"",ROW($AI$7:$AI$78)-MIN(ROW($AI$7:$AI$78))+1,""),""),ROW()-ROW(A$80)+1)))," "),"")</f>
        <v/>
      </c>
      <c r="AJ83" s="1" t="str">
        <f t="array" ref="AJ83">IFERROR(CONCATENATE(TEXT(INDEX($AI$7:$AI$78,SMALL(IF($AL$7:$AL$78&lt;&gt;"",IF($AI$7:$AI$78&lt;&gt;"",ROW($AI$7:$AI$78)-MIN(ROW($AI$7:$AI$78))+1,""),""),ROW()-ROW(A$80)+1)),"##0")," "),"")</f>
        <v/>
      </c>
      <c r="AK83" s="1" t="str">
        <f t="array" ref="AK83">IFERROR(CONCATENATE((INDEX($A$7:$A$78,SMALL(IF($AL$7:$AL$78&lt;&gt;"",IF($AI$7:$AI$78&lt;&gt;"",ROW($AI$7:$AI$78)-MIN(ROW($AI$7:$AI$78))+1,""),""),ROW()-ROW(A$80)+1))),),"")</f>
        <v/>
      </c>
    </row>
    <row r="84" spans="3:37" x14ac:dyDescent="0.25">
      <c r="C84" s="1" t="s">
        <v>532</v>
      </c>
      <c r="D84" s="12">
        <v>90</v>
      </c>
      <c r="F84" s="1" t="s">
        <v>536</v>
      </c>
      <c r="G84" s="13">
        <v>0.05</v>
      </c>
      <c r="K84" s="1" t="str">
        <f t="array" ref="K84">IFERROR(CONCATENATE(TEXT(INDEX($K$7:$K$78,SMALL(IF($N$7:$N$78&lt;&gt;"",IF($K$7:$K$78&lt;&gt;"",ROW($K$7:$K$78)-MIN(ROW($K$7:$K$78))+1,""),""),ROW()-ROW(A$80)+1)),"##0"),","),"")</f>
        <v/>
      </c>
      <c r="L84" s="1" t="str">
        <f t="array" ref="L84">IFERROR(CONCATENATE((INDEX($N$7:$N$78,SMALL(IF($N$7:$N$78&lt;&gt;"",IF($K$7:$K$78&lt;&gt;"",ROW($K$7:$K$78)-MIN(ROW($K$7:$K$78))+1,""),""),ROW()-ROW(A$80)+1))),","),"")</f>
        <v/>
      </c>
      <c r="M84" s="1" t="str">
        <f t="array" ref="M84">IFERROR(CONCATENATE((INDEX($A$7:$A$78,SMALL(IF($N$7:$N$78&lt;&gt;"",IF($K$7:$K$78&lt;&gt;"",ROW($K$7:$K$78)-MIN(ROW($K$7:$K$78))+1,""),""),ROW()-ROW(A$80)+1))),),"")</f>
        <v/>
      </c>
      <c r="Q84" s="1" t="str">
        <f t="array" ref="Q84">IFERROR(CONCATENATE((INDEX($T$7:$T$78,SMALL(IF($T$7:$T$78&lt;&gt;"",IF($Q$7:$Q$78&lt;&gt;"",ROW($Q$7:$Q$78)-MIN(ROW($Q$7:$Q$78))+1,""),""),ROW()-ROW(A$80)+1)))," "),"")</f>
        <v/>
      </c>
      <c r="R84" s="1" t="str">
        <f t="array" ref="R84">IFERROR(CONCATENATE(TEXT(INDEX($Q$7:$Q$78,SMALL(IF($T$7:$T$78&lt;&gt;"",IF($Q$7:$Q$78&lt;&gt;"",ROW($Q$7:$Q$78)-MIN(ROW($Q$7:$Q$78))+1,""),""),ROW()-ROW(A$80)+1)),"##0")," "),"")</f>
        <v/>
      </c>
      <c r="S84" s="1" t="str">
        <f t="array" ref="S84">IFERROR(CONCATENATE((INDEX($A$7:$A$78,SMALL(IF($T$7:$T$78&lt;&gt;"",IF($Q$7:$Q$78&lt;&gt;"",ROW($Q$7:$Q$78)-MIN(ROW($Q$7:$Q$78))+1,""),""),ROW()-ROW(A$80)+1))),),"")</f>
        <v/>
      </c>
      <c r="W84" s="1" t="str">
        <f t="array" ref="W84">IFERROR(CONCATENATE((INDEX($Z$7:$Z$78,SMALL(IF($Z$7:$Z$78&lt;&gt;"",IF($W$7:$W$78&lt;&gt;"",ROW($W$7:$W$78)-MIN(ROW($W$7:$W$78))+1,""),""),ROW()-ROW(A$80)+1)))," "),"")</f>
        <v/>
      </c>
      <c r="X84" s="1" t="str">
        <f t="array" ref="X84">IFERROR(CONCATENATE(TEXT(INDEX($W$7:$W$78,SMALL(IF($Z$7:$Z$78&lt;&gt;"",IF($W$7:$W$78&lt;&gt;"",ROW($W$7:$W$78)-MIN(ROW($W$7:$W$78))+1,""),""),ROW()-ROW(A$80)+1)),"##0")," "),"")</f>
        <v/>
      </c>
      <c r="Y84" s="1" t="str">
        <f t="array" ref="Y84">IFERROR(CONCATENATE((INDEX($A$7:$A$78,SMALL(IF($Z$7:$Z$78&lt;&gt;"",IF($W$7:$W$78&lt;&gt;"",ROW($W$7:$W$78)-MIN(ROW($W$7:$W$78))+1,""),""),ROW()-ROW(A$80)+1))),),"")</f>
        <v/>
      </c>
      <c r="AC84" s="1" t="str">
        <f t="array" ref="AC84">IFERROR(CONCATENATE((INDEX($AF$7:$AF$78,SMALL(IF($AF$7:$AF$78&lt;&gt;"",IF($AC$7:$AC$78&lt;&gt;"",ROW($AC$7:$AC$78)-MIN(ROW($AC$7:$AC$78))+1,""),""),ROW()-ROW(A$80)+1))),","),"")</f>
        <v/>
      </c>
      <c r="AD84" s="1" t="str">
        <f t="array" ref="AD84">IFERROR(CONCATENATE(TEXT(INDEX($AC$7:$AC$78,SMALL(IF($AF$7:$AF$78&lt;&gt;"",IF($AC$7:$AC$78&lt;&gt;"",ROW($AC$7:$AC$78)-MIN(ROW($AC$7:$AC$78))+1,""),""),ROW()-ROW(A$80)+1)),"##0"),","),"")</f>
        <v/>
      </c>
      <c r="AE84" s="1" t="str">
        <f t="array" ref="AE84">IFERROR(CONCATENATE((INDEX($A$7:$A$78,SMALL(IF($AF$7:$AF$78&lt;&gt;"",IF($AC$7:$AC$78&lt;&gt;"",ROW($AC$7:$AC$78)-MIN(ROW($AC$7:$AC$78))+1,""),""),ROW()-ROW(A$80)+1))),),"")</f>
        <v/>
      </c>
      <c r="AI84" s="1" t="str">
        <f t="array" ref="AI84">IFERROR(CONCATENATE((INDEX($AL$7:$AL$78,SMALL(IF($AL$7:$AL$78&lt;&gt;"",IF($AI$7:$AI$78&lt;&gt;"",ROW($AI$7:$AI$78)-MIN(ROW($AI$7:$AI$78))+1,""),""),ROW()-ROW(A$80)+1)))," "),"")</f>
        <v/>
      </c>
      <c r="AJ84" s="1" t="str">
        <f t="array" ref="AJ84">IFERROR(CONCATENATE(TEXT(INDEX($AI$7:$AI$78,SMALL(IF($AL$7:$AL$78&lt;&gt;"",IF($AI$7:$AI$78&lt;&gt;"",ROW($AI$7:$AI$78)-MIN(ROW($AI$7:$AI$78))+1,""),""),ROW()-ROW(A$80)+1)),"##0")," "),"")</f>
        <v/>
      </c>
      <c r="AK84" s="1" t="str">
        <f t="array" ref="AK84">IFERROR(CONCATENATE((INDEX($A$7:$A$78,SMALL(IF($AL$7:$AL$78&lt;&gt;"",IF($AI$7:$AI$78&lt;&gt;"",ROW($AI$7:$AI$78)-MIN(ROW($AI$7:$AI$78))+1,""),""),ROW()-ROW(A$80)+1))),),"")</f>
        <v/>
      </c>
    </row>
    <row r="85" spans="3:37" x14ac:dyDescent="0.25">
      <c r="C85" s="1" t="s">
        <v>533</v>
      </c>
      <c r="D85" s="12">
        <f ca="1">D84-I3</f>
        <v>13.715670000000003</v>
      </c>
      <c r="E85" s="12"/>
      <c r="F85" s="1" t="s">
        <v>537</v>
      </c>
      <c r="G85" s="12">
        <f>D88*G84</f>
        <v>1125</v>
      </c>
      <c r="K85" s="1" t="str">
        <f t="array" ref="K85">IFERROR(CONCATENATE(TEXT(INDEX($K$7:$K$78,SMALL(IF($N$7:$N$78&lt;&gt;"",IF($K$7:$K$78&lt;&gt;"",ROW($K$7:$K$78)-MIN(ROW($K$7:$K$78))+1,""),""),ROW()-ROW(A$80)+1)),"##0"),","),"")</f>
        <v/>
      </c>
      <c r="L85" s="1" t="str">
        <f t="array" ref="L85">IFERROR(CONCATENATE((INDEX($N$7:$N$78,SMALL(IF($N$7:$N$78&lt;&gt;"",IF($K$7:$K$78&lt;&gt;"",ROW($K$7:$K$78)-MIN(ROW($K$7:$K$78))+1,""),""),ROW()-ROW(A$80)+1))),","),"")</f>
        <v/>
      </c>
      <c r="M85" s="1" t="str">
        <f t="array" ref="M85">IFERROR(CONCATENATE((INDEX($A$7:$A$78,SMALL(IF($N$7:$N$78&lt;&gt;"",IF($K$7:$K$78&lt;&gt;"",ROW($K$7:$K$78)-MIN(ROW($K$7:$K$78))+1,""),""),ROW()-ROW(A$80)+1))),),"")</f>
        <v/>
      </c>
      <c r="Q85" s="1" t="str">
        <f t="array" ref="Q85">IFERROR(CONCATENATE((INDEX($T$7:$T$78,SMALL(IF($T$7:$T$78&lt;&gt;"",IF($Q$7:$Q$78&lt;&gt;"",ROW($Q$7:$Q$78)-MIN(ROW($Q$7:$Q$78))+1,""),""),ROW()-ROW(A$80)+1)))," "),"")</f>
        <v/>
      </c>
      <c r="R85" s="1" t="str">
        <f t="array" ref="R85">IFERROR(CONCATENATE(TEXT(INDEX($Q$7:$Q$78,SMALL(IF($T$7:$T$78&lt;&gt;"",IF($Q$7:$Q$78&lt;&gt;"",ROW($Q$7:$Q$78)-MIN(ROW($Q$7:$Q$78))+1,""),""),ROW()-ROW(A$80)+1)),"##0")," "),"")</f>
        <v/>
      </c>
      <c r="S85" s="1" t="str">
        <f t="array" ref="S85">IFERROR(CONCATENATE((INDEX($A$7:$A$78,SMALL(IF($T$7:$T$78&lt;&gt;"",IF($Q$7:$Q$78&lt;&gt;"",ROW($Q$7:$Q$78)-MIN(ROW($Q$7:$Q$78))+1,""),""),ROW()-ROW(A$80)+1))),),"")</f>
        <v/>
      </c>
      <c r="W85" s="1" t="str">
        <f t="array" ref="W85">IFERROR(CONCATENATE((INDEX($Z$7:$Z$78,SMALL(IF($Z$7:$Z$78&lt;&gt;"",IF($W$7:$W$78&lt;&gt;"",ROW($W$7:$W$78)-MIN(ROW($W$7:$W$78))+1,""),""),ROW()-ROW(A$80)+1)))," "),"")</f>
        <v/>
      </c>
      <c r="X85" s="1" t="str">
        <f t="array" ref="X85">IFERROR(CONCATENATE(TEXT(INDEX($W$7:$W$78,SMALL(IF($Z$7:$Z$78&lt;&gt;"",IF($W$7:$W$78&lt;&gt;"",ROW($W$7:$W$78)-MIN(ROW($W$7:$W$78))+1,""),""),ROW()-ROW(A$80)+1)),"##0")," "),"")</f>
        <v/>
      </c>
      <c r="Y85" s="1" t="str">
        <f t="array" ref="Y85">IFERROR(CONCATENATE((INDEX($A$7:$A$78,SMALL(IF($Z$7:$Z$78&lt;&gt;"",IF($W$7:$W$78&lt;&gt;"",ROW($W$7:$W$78)-MIN(ROW($W$7:$W$78))+1,""),""),ROW()-ROW(A$80)+1))),),"")</f>
        <v/>
      </c>
      <c r="AC85" s="1" t="str">
        <f t="array" ref="AC85">IFERROR(CONCATENATE((INDEX($AF$7:$AF$78,SMALL(IF($AF$7:$AF$78&lt;&gt;"",IF($AC$7:$AC$78&lt;&gt;"",ROW($AC$7:$AC$78)-MIN(ROW($AC$7:$AC$78))+1,""),""),ROW()-ROW(A$80)+1))),","),"")</f>
        <v/>
      </c>
      <c r="AD85" s="1" t="str">
        <f t="array" ref="AD85">IFERROR(CONCATENATE(TEXT(INDEX($AC$7:$AC$78,SMALL(IF($AF$7:$AF$78&lt;&gt;"",IF($AC$7:$AC$78&lt;&gt;"",ROW($AC$7:$AC$78)-MIN(ROW($AC$7:$AC$78))+1,""),""),ROW()-ROW(A$80)+1)),"##0"),","),"")</f>
        <v/>
      </c>
      <c r="AE85" s="1" t="str">
        <f t="array" ref="AE85">IFERROR(CONCATENATE((INDEX($A$7:$A$78,SMALL(IF($AF$7:$AF$78&lt;&gt;"",IF($AC$7:$AC$78&lt;&gt;"",ROW($AC$7:$AC$78)-MIN(ROW($AC$7:$AC$78))+1,""),""),ROW()-ROW(A$80)+1))),),"")</f>
        <v/>
      </c>
      <c r="AI85" s="1" t="str">
        <f t="array" ref="AI85">IFERROR(CONCATENATE((INDEX($AL$7:$AL$78,SMALL(IF($AL$7:$AL$78&lt;&gt;"",IF($AI$7:$AI$78&lt;&gt;"",ROW($AI$7:$AI$78)-MIN(ROW($AI$7:$AI$78))+1,""),""),ROW()-ROW(A$80)+1)))," "),"")</f>
        <v/>
      </c>
      <c r="AJ85" s="1" t="str">
        <f t="array" ref="AJ85">IFERROR(CONCATENATE(TEXT(INDEX($AI$7:$AI$78,SMALL(IF($AL$7:$AL$78&lt;&gt;"",IF($AI$7:$AI$78&lt;&gt;"",ROW($AI$7:$AI$78)-MIN(ROW($AI$7:$AI$78))+1,""),""),ROW()-ROW(A$80)+1)),"##0")," "),"")</f>
        <v/>
      </c>
      <c r="AK85" s="1" t="str">
        <f t="array" ref="AK85">IFERROR(CONCATENATE((INDEX($A$7:$A$78,SMALL(IF($AL$7:$AL$78&lt;&gt;"",IF($AI$7:$AI$78&lt;&gt;"",ROW($AI$7:$AI$78)-MIN(ROW($AI$7:$AI$78))+1,""),""),ROW()-ROW(A$80)+1))),),"")</f>
        <v/>
      </c>
    </row>
    <row r="86" spans="3:37" x14ac:dyDescent="0.25">
      <c r="C86" s="1" t="s">
        <v>534</v>
      </c>
      <c r="D86" s="12">
        <f ca="1">D85*BoardQty</f>
        <v>3428.9175000000009</v>
      </c>
      <c r="E86" s="12"/>
      <c r="K86" s="1" t="str">
        <f t="array" ref="K86">IFERROR(CONCATENATE(TEXT(INDEX($K$7:$K$78,SMALL(IF($N$7:$N$78&lt;&gt;"",IF($K$7:$K$78&lt;&gt;"",ROW($K$7:$K$78)-MIN(ROW($K$7:$K$78))+1,""),""),ROW()-ROW(A$80)+1)),"##0"),","),"")</f>
        <v/>
      </c>
      <c r="L86" s="1" t="str">
        <f t="array" ref="L86">IFERROR(CONCATENATE((INDEX($N$7:$N$78,SMALL(IF($N$7:$N$78&lt;&gt;"",IF($K$7:$K$78&lt;&gt;"",ROW($K$7:$K$78)-MIN(ROW($K$7:$K$78))+1,""),""),ROW()-ROW(A$80)+1))),","),"")</f>
        <v/>
      </c>
      <c r="M86" s="1" t="str">
        <f t="array" ref="M86">IFERROR(CONCATENATE((INDEX($A$7:$A$78,SMALL(IF($N$7:$N$78&lt;&gt;"",IF($K$7:$K$78&lt;&gt;"",ROW($K$7:$K$78)-MIN(ROW($K$7:$K$78))+1,""),""),ROW()-ROW(A$80)+1))),),"")</f>
        <v/>
      </c>
      <c r="Q86" s="1" t="str">
        <f t="array" ref="Q86">IFERROR(CONCATENATE((INDEX($T$7:$T$78,SMALL(IF($T$7:$T$78&lt;&gt;"",IF($Q$7:$Q$78&lt;&gt;"",ROW($Q$7:$Q$78)-MIN(ROW($Q$7:$Q$78))+1,""),""),ROW()-ROW(A$80)+1)))," "),"")</f>
        <v/>
      </c>
      <c r="R86" s="1" t="str">
        <f t="array" ref="R86">IFERROR(CONCATENATE(TEXT(INDEX($Q$7:$Q$78,SMALL(IF($T$7:$T$78&lt;&gt;"",IF($Q$7:$Q$78&lt;&gt;"",ROW($Q$7:$Q$78)-MIN(ROW($Q$7:$Q$78))+1,""),""),ROW()-ROW(A$80)+1)),"##0")," "),"")</f>
        <v/>
      </c>
      <c r="S86" s="1" t="str">
        <f t="array" ref="S86">IFERROR(CONCATENATE((INDEX($A$7:$A$78,SMALL(IF($T$7:$T$78&lt;&gt;"",IF($Q$7:$Q$78&lt;&gt;"",ROW($Q$7:$Q$78)-MIN(ROW($Q$7:$Q$78))+1,""),""),ROW()-ROW(A$80)+1))),),"")</f>
        <v/>
      </c>
      <c r="W86" s="1" t="str">
        <f t="array" ref="W86">IFERROR(CONCATENATE((INDEX($Z$7:$Z$78,SMALL(IF($Z$7:$Z$78&lt;&gt;"",IF($W$7:$W$78&lt;&gt;"",ROW($W$7:$W$78)-MIN(ROW($W$7:$W$78))+1,""),""),ROW()-ROW(A$80)+1)))," "),"")</f>
        <v/>
      </c>
      <c r="X86" s="1" t="str">
        <f t="array" ref="X86">IFERROR(CONCATENATE(TEXT(INDEX($W$7:$W$78,SMALL(IF($Z$7:$Z$78&lt;&gt;"",IF($W$7:$W$78&lt;&gt;"",ROW($W$7:$W$78)-MIN(ROW($W$7:$W$78))+1,""),""),ROW()-ROW(A$80)+1)),"##0")," "),"")</f>
        <v/>
      </c>
      <c r="Y86" s="1" t="str">
        <f t="array" ref="Y86">IFERROR(CONCATENATE((INDEX($A$7:$A$78,SMALL(IF($Z$7:$Z$78&lt;&gt;"",IF($W$7:$W$78&lt;&gt;"",ROW($W$7:$W$78)-MIN(ROW($W$7:$W$78))+1,""),""),ROW()-ROW(A$80)+1))),),"")</f>
        <v/>
      </c>
      <c r="AC86" s="1" t="str">
        <f t="array" ref="AC86">IFERROR(CONCATENATE((INDEX($AF$7:$AF$78,SMALL(IF($AF$7:$AF$78&lt;&gt;"",IF($AC$7:$AC$78&lt;&gt;"",ROW($AC$7:$AC$78)-MIN(ROW($AC$7:$AC$78))+1,""),""),ROW()-ROW(A$80)+1))),","),"")</f>
        <v/>
      </c>
      <c r="AD86" s="1" t="str">
        <f t="array" ref="AD86">IFERROR(CONCATENATE(TEXT(INDEX($AC$7:$AC$78,SMALL(IF($AF$7:$AF$78&lt;&gt;"",IF($AC$7:$AC$78&lt;&gt;"",ROW($AC$7:$AC$78)-MIN(ROW($AC$7:$AC$78))+1,""),""),ROW()-ROW(A$80)+1)),"##0"),","),"")</f>
        <v/>
      </c>
      <c r="AE86" s="1" t="str">
        <f t="array" ref="AE86">IFERROR(CONCATENATE((INDEX($A$7:$A$78,SMALL(IF($AF$7:$AF$78&lt;&gt;"",IF($AC$7:$AC$78&lt;&gt;"",ROW($AC$7:$AC$78)-MIN(ROW($AC$7:$AC$78))+1,""),""),ROW()-ROW(A$80)+1))),),"")</f>
        <v/>
      </c>
      <c r="AI86" s="1" t="str">
        <f t="array" ref="AI86">IFERROR(CONCATENATE((INDEX($AL$7:$AL$78,SMALL(IF($AL$7:$AL$78&lt;&gt;"",IF($AI$7:$AI$78&lt;&gt;"",ROW($AI$7:$AI$78)-MIN(ROW($AI$7:$AI$78))+1,""),""),ROW()-ROW(A$80)+1)))," "),"")</f>
        <v/>
      </c>
      <c r="AJ86" s="1" t="str">
        <f t="array" ref="AJ86">IFERROR(CONCATENATE(TEXT(INDEX($AI$7:$AI$78,SMALL(IF($AL$7:$AL$78&lt;&gt;"",IF($AI$7:$AI$78&lt;&gt;"",ROW($AI$7:$AI$78)-MIN(ROW($AI$7:$AI$78))+1,""),""),ROW()-ROW(A$80)+1)),"##0")," "),"")</f>
        <v/>
      </c>
      <c r="AK86" s="1" t="str">
        <f t="array" ref="AK86">IFERROR(CONCATENATE((INDEX($A$7:$A$78,SMALL(IF($AL$7:$AL$78&lt;&gt;"",IF($AI$7:$AI$78&lt;&gt;"",ROW($AI$7:$AI$78)-MIN(ROW($AI$7:$AI$78))+1,""),""),ROW()-ROW(A$80)+1))),),"")</f>
        <v/>
      </c>
    </row>
    <row r="87" spans="3:37" x14ac:dyDescent="0.25">
      <c r="F87" s="1" t="s">
        <v>538</v>
      </c>
      <c r="G87" s="12">
        <f ca="1">D86-G85</f>
        <v>2303.9175000000009</v>
      </c>
      <c r="K87" s="1" t="str">
        <f t="array" ref="K87">IFERROR(CONCATENATE(TEXT(INDEX($K$7:$K$78,SMALL(IF($N$7:$N$78&lt;&gt;"",IF($K$7:$K$78&lt;&gt;"",ROW($K$7:$K$78)-MIN(ROW($K$7:$K$78))+1,""),""),ROW()-ROW(A$80)+1)),"##0"),","),"")</f>
        <v/>
      </c>
      <c r="L87" s="1" t="str">
        <f t="array" ref="L87">IFERROR(CONCATENATE((INDEX($N$7:$N$78,SMALL(IF($N$7:$N$78&lt;&gt;"",IF($K$7:$K$78&lt;&gt;"",ROW($K$7:$K$78)-MIN(ROW($K$7:$K$78))+1,""),""),ROW()-ROW(A$80)+1))),","),"")</f>
        <v/>
      </c>
      <c r="M87" s="1" t="str">
        <f t="array" ref="M87">IFERROR(CONCATENATE((INDEX($A$7:$A$78,SMALL(IF($N$7:$N$78&lt;&gt;"",IF($K$7:$K$78&lt;&gt;"",ROW($K$7:$K$78)-MIN(ROW($K$7:$K$78))+1,""),""),ROW()-ROW(A$80)+1))),),"")</f>
        <v/>
      </c>
      <c r="Q87" s="1" t="str">
        <f t="array" ref="Q87">IFERROR(CONCATENATE((INDEX($T$7:$T$78,SMALL(IF($T$7:$T$78&lt;&gt;"",IF($Q$7:$Q$78&lt;&gt;"",ROW($Q$7:$Q$78)-MIN(ROW($Q$7:$Q$78))+1,""),""),ROW()-ROW(A$80)+1)))," "),"")</f>
        <v/>
      </c>
      <c r="R87" s="1" t="str">
        <f t="array" ref="R87">IFERROR(CONCATENATE(TEXT(INDEX($Q$7:$Q$78,SMALL(IF($T$7:$T$78&lt;&gt;"",IF($Q$7:$Q$78&lt;&gt;"",ROW($Q$7:$Q$78)-MIN(ROW($Q$7:$Q$78))+1,""),""),ROW()-ROW(A$80)+1)),"##0")," "),"")</f>
        <v/>
      </c>
      <c r="S87" s="1" t="str">
        <f t="array" ref="S87">IFERROR(CONCATENATE((INDEX($A$7:$A$78,SMALL(IF($T$7:$T$78&lt;&gt;"",IF($Q$7:$Q$78&lt;&gt;"",ROW($Q$7:$Q$78)-MIN(ROW($Q$7:$Q$78))+1,""),""),ROW()-ROW(A$80)+1))),),"")</f>
        <v/>
      </c>
      <c r="W87" s="1" t="str">
        <f t="array" ref="W87">IFERROR(CONCATENATE((INDEX($Z$7:$Z$78,SMALL(IF($Z$7:$Z$78&lt;&gt;"",IF($W$7:$W$78&lt;&gt;"",ROW($W$7:$W$78)-MIN(ROW($W$7:$W$78))+1,""),""),ROW()-ROW(A$80)+1)))," "),"")</f>
        <v/>
      </c>
      <c r="X87" s="1" t="str">
        <f t="array" ref="X87">IFERROR(CONCATENATE(TEXT(INDEX($W$7:$W$78,SMALL(IF($Z$7:$Z$78&lt;&gt;"",IF($W$7:$W$78&lt;&gt;"",ROW($W$7:$W$78)-MIN(ROW($W$7:$W$78))+1,""),""),ROW()-ROW(A$80)+1)),"##0")," "),"")</f>
        <v/>
      </c>
      <c r="Y87" s="1" t="str">
        <f t="array" ref="Y87">IFERROR(CONCATENATE((INDEX($A$7:$A$78,SMALL(IF($Z$7:$Z$78&lt;&gt;"",IF($W$7:$W$78&lt;&gt;"",ROW($W$7:$W$78)-MIN(ROW($W$7:$W$78))+1,""),""),ROW()-ROW(A$80)+1))),),"")</f>
        <v/>
      </c>
      <c r="AC87" s="1" t="str">
        <f t="array" ref="AC87">IFERROR(CONCATENATE((INDEX($AF$7:$AF$78,SMALL(IF($AF$7:$AF$78&lt;&gt;"",IF($AC$7:$AC$78&lt;&gt;"",ROW($AC$7:$AC$78)-MIN(ROW($AC$7:$AC$78))+1,""),""),ROW()-ROW(A$80)+1))),","),"")</f>
        <v/>
      </c>
      <c r="AD87" s="1" t="str">
        <f t="array" ref="AD87">IFERROR(CONCATENATE(TEXT(INDEX($AC$7:$AC$78,SMALL(IF($AF$7:$AF$78&lt;&gt;"",IF($AC$7:$AC$78&lt;&gt;"",ROW($AC$7:$AC$78)-MIN(ROW($AC$7:$AC$78))+1,""),""),ROW()-ROW(A$80)+1)),"##0"),","),"")</f>
        <v/>
      </c>
      <c r="AE87" s="1" t="str">
        <f t="array" ref="AE87">IFERROR(CONCATENATE((INDEX($A$7:$A$78,SMALL(IF($AF$7:$AF$78&lt;&gt;"",IF($AC$7:$AC$78&lt;&gt;"",ROW($AC$7:$AC$78)-MIN(ROW($AC$7:$AC$78))+1,""),""),ROW()-ROW(A$80)+1))),),"")</f>
        <v/>
      </c>
      <c r="AI87" s="1" t="str">
        <f t="array" ref="AI87">IFERROR(CONCATENATE((INDEX($AL$7:$AL$78,SMALL(IF($AL$7:$AL$78&lt;&gt;"",IF($AI$7:$AI$78&lt;&gt;"",ROW($AI$7:$AI$78)-MIN(ROW($AI$7:$AI$78))+1,""),""),ROW()-ROW(A$80)+1)))," "),"")</f>
        <v/>
      </c>
      <c r="AJ87" s="1" t="str">
        <f t="array" ref="AJ87">IFERROR(CONCATENATE(TEXT(INDEX($AI$7:$AI$78,SMALL(IF($AL$7:$AL$78&lt;&gt;"",IF($AI$7:$AI$78&lt;&gt;"",ROW($AI$7:$AI$78)-MIN(ROW($AI$7:$AI$78))+1,""),""),ROW()-ROW(A$80)+1)),"##0")," "),"")</f>
        <v/>
      </c>
      <c r="AK87" s="1" t="str">
        <f t="array" ref="AK87">IFERROR(CONCATENATE((INDEX($A$7:$A$78,SMALL(IF($AL$7:$AL$78&lt;&gt;"",IF($AI$7:$AI$78&lt;&gt;"",ROW($AI$7:$AI$78)-MIN(ROW($AI$7:$AI$78))+1,""),""),ROW()-ROW(A$80)+1))),),"")</f>
        <v/>
      </c>
    </row>
    <row r="88" spans="3:37" x14ac:dyDescent="0.25">
      <c r="C88" s="1" t="s">
        <v>535</v>
      </c>
      <c r="D88" s="12">
        <f>D84*BoardQty</f>
        <v>22500</v>
      </c>
      <c r="K88" s="1" t="str">
        <f t="array" ref="K88">IFERROR(CONCATENATE(TEXT(INDEX($K$7:$K$78,SMALL(IF($N$7:$N$78&lt;&gt;"",IF($K$7:$K$78&lt;&gt;"",ROW($K$7:$K$78)-MIN(ROW($K$7:$K$78))+1,""),""),ROW()-ROW(A$80)+1)),"##0"),","),"")</f>
        <v/>
      </c>
      <c r="L88" s="1" t="str">
        <f t="array" ref="L88">IFERROR(CONCATENATE((INDEX($N$7:$N$78,SMALL(IF($N$7:$N$78&lt;&gt;"",IF($K$7:$K$78&lt;&gt;"",ROW($K$7:$K$78)-MIN(ROW($K$7:$K$78))+1,""),""),ROW()-ROW(A$80)+1))),","),"")</f>
        <v/>
      </c>
      <c r="M88" s="1" t="str">
        <f t="array" ref="M88">IFERROR(CONCATENATE((INDEX($A$7:$A$78,SMALL(IF($N$7:$N$78&lt;&gt;"",IF($K$7:$K$78&lt;&gt;"",ROW($K$7:$K$78)-MIN(ROW($K$7:$K$78))+1,""),""),ROW()-ROW(A$80)+1))),),"")</f>
        <v/>
      </c>
      <c r="Q88" s="1" t="str">
        <f t="array" ref="Q88">IFERROR(CONCATENATE((INDEX($T$7:$T$78,SMALL(IF($T$7:$T$78&lt;&gt;"",IF($Q$7:$Q$78&lt;&gt;"",ROW($Q$7:$Q$78)-MIN(ROW($Q$7:$Q$78))+1,""),""),ROW()-ROW(A$80)+1)))," "),"")</f>
        <v/>
      </c>
      <c r="R88" s="1" t="str">
        <f t="array" ref="R88">IFERROR(CONCATENATE(TEXT(INDEX($Q$7:$Q$78,SMALL(IF($T$7:$T$78&lt;&gt;"",IF($Q$7:$Q$78&lt;&gt;"",ROW($Q$7:$Q$78)-MIN(ROW($Q$7:$Q$78))+1,""),""),ROW()-ROW(A$80)+1)),"##0")," "),"")</f>
        <v/>
      </c>
      <c r="S88" s="1" t="str">
        <f t="array" ref="S88">IFERROR(CONCATENATE((INDEX($A$7:$A$78,SMALL(IF($T$7:$T$78&lt;&gt;"",IF($Q$7:$Q$78&lt;&gt;"",ROW($Q$7:$Q$78)-MIN(ROW($Q$7:$Q$78))+1,""),""),ROW()-ROW(A$80)+1))),),"")</f>
        <v/>
      </c>
      <c r="W88" s="1" t="str">
        <f t="array" ref="W88">IFERROR(CONCATENATE((INDEX($Z$7:$Z$78,SMALL(IF($Z$7:$Z$78&lt;&gt;"",IF($W$7:$W$78&lt;&gt;"",ROW($W$7:$W$78)-MIN(ROW($W$7:$W$78))+1,""),""),ROW()-ROW(A$80)+1)))," "),"")</f>
        <v/>
      </c>
      <c r="X88" s="1" t="str">
        <f t="array" ref="X88">IFERROR(CONCATENATE(TEXT(INDEX($W$7:$W$78,SMALL(IF($Z$7:$Z$78&lt;&gt;"",IF($W$7:$W$78&lt;&gt;"",ROW($W$7:$W$78)-MIN(ROW($W$7:$W$78))+1,""),""),ROW()-ROW(A$80)+1)),"##0")," "),"")</f>
        <v/>
      </c>
      <c r="Y88" s="1" t="str">
        <f t="array" ref="Y88">IFERROR(CONCATENATE((INDEX($A$7:$A$78,SMALL(IF($Z$7:$Z$78&lt;&gt;"",IF($W$7:$W$78&lt;&gt;"",ROW($W$7:$W$78)-MIN(ROW($W$7:$W$78))+1,""),""),ROW()-ROW(A$80)+1))),),"")</f>
        <v/>
      </c>
      <c r="AC88" s="1" t="str">
        <f t="array" ref="AC88">IFERROR(CONCATENATE((INDEX($AF$7:$AF$78,SMALL(IF($AF$7:$AF$78&lt;&gt;"",IF($AC$7:$AC$78&lt;&gt;"",ROW($AC$7:$AC$78)-MIN(ROW($AC$7:$AC$78))+1,""),""),ROW()-ROW(A$80)+1))),","),"")</f>
        <v/>
      </c>
      <c r="AD88" s="1" t="str">
        <f t="array" ref="AD88">IFERROR(CONCATENATE(TEXT(INDEX($AC$7:$AC$78,SMALL(IF($AF$7:$AF$78&lt;&gt;"",IF($AC$7:$AC$78&lt;&gt;"",ROW($AC$7:$AC$78)-MIN(ROW($AC$7:$AC$78))+1,""),""),ROW()-ROW(A$80)+1)),"##0"),","),"")</f>
        <v/>
      </c>
      <c r="AE88" s="1" t="str">
        <f t="array" ref="AE88">IFERROR(CONCATENATE((INDEX($A$7:$A$78,SMALL(IF($AF$7:$AF$78&lt;&gt;"",IF($AC$7:$AC$78&lt;&gt;"",ROW($AC$7:$AC$78)-MIN(ROW($AC$7:$AC$78))+1,""),""),ROW()-ROW(A$80)+1))),),"")</f>
        <v/>
      </c>
      <c r="AI88" s="1" t="str">
        <f t="array" ref="AI88">IFERROR(CONCATENATE((INDEX($AL$7:$AL$78,SMALL(IF($AL$7:$AL$78&lt;&gt;"",IF($AI$7:$AI$78&lt;&gt;"",ROW($AI$7:$AI$78)-MIN(ROW($AI$7:$AI$78))+1,""),""),ROW()-ROW(A$80)+1)))," "),"")</f>
        <v/>
      </c>
      <c r="AJ88" s="1" t="str">
        <f t="array" ref="AJ88">IFERROR(CONCATENATE(TEXT(INDEX($AI$7:$AI$78,SMALL(IF($AL$7:$AL$78&lt;&gt;"",IF($AI$7:$AI$78&lt;&gt;"",ROW($AI$7:$AI$78)-MIN(ROW($AI$7:$AI$78))+1,""),""),ROW()-ROW(A$80)+1)),"##0")," "),"")</f>
        <v/>
      </c>
      <c r="AK88" s="1" t="str">
        <f t="array" ref="AK88">IFERROR(CONCATENATE((INDEX($A$7:$A$78,SMALL(IF($AL$7:$AL$78&lt;&gt;"",IF($AI$7:$AI$78&lt;&gt;"",ROW($AI$7:$AI$78)-MIN(ROW($AI$7:$AI$78))+1,""),""),ROW()-ROW(A$80)+1))),),"")</f>
        <v/>
      </c>
    </row>
    <row r="89" spans="3:37" x14ac:dyDescent="0.25">
      <c r="D89" s="12">
        <f ca="1">D88-TotalCost</f>
        <v>3428.9174999999996</v>
      </c>
      <c r="K89" s="1" t="str">
        <f t="array" ref="K89">IFERROR(CONCATENATE(TEXT(INDEX($K$7:$K$78,SMALL(IF($N$7:$N$78&lt;&gt;"",IF($K$7:$K$78&lt;&gt;"",ROW($K$7:$K$78)-MIN(ROW($K$7:$K$78))+1,""),""),ROW()-ROW(A$80)+1)),"##0"),","),"")</f>
        <v/>
      </c>
      <c r="L89" s="1" t="str">
        <f t="array" ref="L89">IFERROR(CONCATENATE((INDEX($N$7:$N$78,SMALL(IF($N$7:$N$78&lt;&gt;"",IF($K$7:$K$78&lt;&gt;"",ROW($K$7:$K$78)-MIN(ROW($K$7:$K$78))+1,""),""),ROW()-ROW(A$80)+1))),","),"")</f>
        <v/>
      </c>
      <c r="M89" s="1" t="str">
        <f t="array" ref="M89">IFERROR(CONCATENATE((INDEX($A$7:$A$78,SMALL(IF($N$7:$N$78&lt;&gt;"",IF($K$7:$K$78&lt;&gt;"",ROW($K$7:$K$78)-MIN(ROW($K$7:$K$78))+1,""),""),ROW()-ROW(A$80)+1))),),"")</f>
        <v/>
      </c>
      <c r="Q89" s="1" t="str">
        <f t="array" ref="Q89">IFERROR(CONCATENATE((INDEX($T$7:$T$78,SMALL(IF($T$7:$T$78&lt;&gt;"",IF($Q$7:$Q$78&lt;&gt;"",ROW($Q$7:$Q$78)-MIN(ROW($Q$7:$Q$78))+1,""),""),ROW()-ROW(A$80)+1)))," "),"")</f>
        <v/>
      </c>
      <c r="R89" s="1" t="str">
        <f t="array" ref="R89">IFERROR(CONCATENATE(TEXT(INDEX($Q$7:$Q$78,SMALL(IF($T$7:$T$78&lt;&gt;"",IF($Q$7:$Q$78&lt;&gt;"",ROW($Q$7:$Q$78)-MIN(ROW($Q$7:$Q$78))+1,""),""),ROW()-ROW(A$80)+1)),"##0")," "),"")</f>
        <v/>
      </c>
      <c r="S89" s="1" t="str">
        <f t="array" ref="S89">IFERROR(CONCATENATE((INDEX($A$7:$A$78,SMALL(IF($T$7:$T$78&lt;&gt;"",IF($Q$7:$Q$78&lt;&gt;"",ROW($Q$7:$Q$78)-MIN(ROW($Q$7:$Q$78))+1,""),""),ROW()-ROW(A$80)+1))),),"")</f>
        <v/>
      </c>
      <c r="W89" s="1" t="str">
        <f t="array" ref="W89">IFERROR(CONCATENATE((INDEX($Z$7:$Z$78,SMALL(IF($Z$7:$Z$78&lt;&gt;"",IF($W$7:$W$78&lt;&gt;"",ROW($W$7:$W$78)-MIN(ROW($W$7:$W$78))+1,""),""),ROW()-ROW(A$80)+1)))," "),"")</f>
        <v/>
      </c>
      <c r="X89" s="1" t="str">
        <f t="array" ref="X89">IFERROR(CONCATENATE(TEXT(INDEX($W$7:$W$78,SMALL(IF($Z$7:$Z$78&lt;&gt;"",IF($W$7:$W$78&lt;&gt;"",ROW($W$7:$W$78)-MIN(ROW($W$7:$W$78))+1,""),""),ROW()-ROW(A$80)+1)),"##0")," "),"")</f>
        <v/>
      </c>
      <c r="Y89" s="1" t="str">
        <f t="array" ref="Y89">IFERROR(CONCATENATE((INDEX($A$7:$A$78,SMALL(IF($Z$7:$Z$78&lt;&gt;"",IF($W$7:$W$78&lt;&gt;"",ROW($W$7:$W$78)-MIN(ROW($W$7:$W$78))+1,""),""),ROW()-ROW(A$80)+1))),),"")</f>
        <v/>
      </c>
      <c r="AC89" s="1" t="str">
        <f t="array" ref="AC89">IFERROR(CONCATENATE((INDEX($AF$7:$AF$78,SMALL(IF($AF$7:$AF$78&lt;&gt;"",IF($AC$7:$AC$78&lt;&gt;"",ROW($AC$7:$AC$78)-MIN(ROW($AC$7:$AC$78))+1,""),""),ROW()-ROW(A$80)+1))),","),"")</f>
        <v/>
      </c>
      <c r="AD89" s="1" t="str">
        <f t="array" ref="AD89">IFERROR(CONCATENATE(TEXT(INDEX($AC$7:$AC$78,SMALL(IF($AF$7:$AF$78&lt;&gt;"",IF($AC$7:$AC$78&lt;&gt;"",ROW($AC$7:$AC$78)-MIN(ROW($AC$7:$AC$78))+1,""),""),ROW()-ROW(A$80)+1)),"##0"),","),"")</f>
        <v/>
      </c>
      <c r="AE89" s="1" t="str">
        <f t="array" ref="AE89">IFERROR(CONCATENATE((INDEX($A$7:$A$78,SMALL(IF($AF$7:$AF$78&lt;&gt;"",IF($AC$7:$AC$78&lt;&gt;"",ROW($AC$7:$AC$78)-MIN(ROW($AC$7:$AC$78))+1,""),""),ROW()-ROW(A$80)+1))),),"")</f>
        <v/>
      </c>
      <c r="AI89" s="1" t="str">
        <f t="array" ref="AI89">IFERROR(CONCATENATE((INDEX($AL$7:$AL$78,SMALL(IF($AL$7:$AL$78&lt;&gt;"",IF($AI$7:$AI$78&lt;&gt;"",ROW($AI$7:$AI$78)-MIN(ROW($AI$7:$AI$78))+1,""),""),ROW()-ROW(A$80)+1)))," "),"")</f>
        <v/>
      </c>
      <c r="AJ89" s="1" t="str">
        <f t="array" ref="AJ89">IFERROR(CONCATENATE(TEXT(INDEX($AI$7:$AI$78,SMALL(IF($AL$7:$AL$78&lt;&gt;"",IF($AI$7:$AI$78&lt;&gt;"",ROW($AI$7:$AI$78)-MIN(ROW($AI$7:$AI$78))+1,""),""),ROW()-ROW(A$80)+1)),"##0")," "),"")</f>
        <v/>
      </c>
      <c r="AK89" s="1" t="str">
        <f t="array" ref="AK89">IFERROR(CONCATENATE((INDEX($A$7:$A$78,SMALL(IF($AL$7:$AL$78&lt;&gt;"",IF($AI$7:$AI$78&lt;&gt;"",ROW($AI$7:$AI$78)-MIN(ROW($AI$7:$AI$78))+1,""),""),ROW()-ROW(A$80)+1))),),"")</f>
        <v/>
      </c>
    </row>
    <row r="90" spans="3:37" x14ac:dyDescent="0.25">
      <c r="K90" s="1" t="str">
        <f t="array" ref="K90">IFERROR(CONCATENATE(TEXT(INDEX($K$7:$K$78,SMALL(IF($N$7:$N$78&lt;&gt;"",IF($K$7:$K$78&lt;&gt;"",ROW($K$7:$K$78)-MIN(ROW($K$7:$K$78))+1,""),""),ROW()-ROW(A$80)+1)),"##0"),","),"")</f>
        <v/>
      </c>
      <c r="L90" s="1" t="str">
        <f t="array" ref="L90">IFERROR(CONCATENATE((INDEX($N$7:$N$78,SMALL(IF($N$7:$N$78&lt;&gt;"",IF($K$7:$K$78&lt;&gt;"",ROW($K$7:$K$78)-MIN(ROW($K$7:$K$78))+1,""),""),ROW()-ROW(A$80)+1))),","),"")</f>
        <v/>
      </c>
      <c r="M90" s="1" t="str">
        <f t="array" ref="M90">IFERROR(CONCATENATE((INDEX($A$7:$A$78,SMALL(IF($N$7:$N$78&lt;&gt;"",IF($K$7:$K$78&lt;&gt;"",ROW($K$7:$K$78)-MIN(ROW($K$7:$K$78))+1,""),""),ROW()-ROW(A$80)+1))),),"")</f>
        <v/>
      </c>
      <c r="Q90" s="1" t="str">
        <f t="array" ref="Q90">IFERROR(CONCATENATE((INDEX($T$7:$T$78,SMALL(IF($T$7:$T$78&lt;&gt;"",IF($Q$7:$Q$78&lt;&gt;"",ROW($Q$7:$Q$78)-MIN(ROW($Q$7:$Q$78))+1,""),""),ROW()-ROW(A$80)+1)))," "),"")</f>
        <v/>
      </c>
      <c r="R90" s="1" t="str">
        <f t="array" ref="R90">IFERROR(CONCATENATE(TEXT(INDEX($Q$7:$Q$78,SMALL(IF($T$7:$T$78&lt;&gt;"",IF($Q$7:$Q$78&lt;&gt;"",ROW($Q$7:$Q$78)-MIN(ROW($Q$7:$Q$78))+1,""),""),ROW()-ROW(A$80)+1)),"##0")," "),"")</f>
        <v/>
      </c>
      <c r="S90" s="1" t="str">
        <f t="array" ref="S90">IFERROR(CONCATENATE((INDEX($A$7:$A$78,SMALL(IF($T$7:$T$78&lt;&gt;"",IF($Q$7:$Q$78&lt;&gt;"",ROW($Q$7:$Q$78)-MIN(ROW($Q$7:$Q$78))+1,""),""),ROW()-ROW(A$80)+1))),),"")</f>
        <v/>
      </c>
      <c r="W90" s="1" t="str">
        <f t="array" ref="W90">IFERROR(CONCATENATE((INDEX($Z$7:$Z$78,SMALL(IF($Z$7:$Z$78&lt;&gt;"",IF($W$7:$W$78&lt;&gt;"",ROW($W$7:$W$78)-MIN(ROW($W$7:$W$78))+1,""),""),ROW()-ROW(A$80)+1)))," "),"")</f>
        <v/>
      </c>
      <c r="X90" s="1" t="str">
        <f t="array" ref="X90">IFERROR(CONCATENATE(TEXT(INDEX($W$7:$W$78,SMALL(IF($Z$7:$Z$78&lt;&gt;"",IF($W$7:$W$78&lt;&gt;"",ROW($W$7:$W$78)-MIN(ROW($W$7:$W$78))+1,""),""),ROW()-ROW(A$80)+1)),"##0")," "),"")</f>
        <v/>
      </c>
      <c r="Y90" s="1" t="str">
        <f t="array" ref="Y90">IFERROR(CONCATENATE((INDEX($A$7:$A$78,SMALL(IF($Z$7:$Z$78&lt;&gt;"",IF($W$7:$W$78&lt;&gt;"",ROW($W$7:$W$78)-MIN(ROW($W$7:$W$78))+1,""),""),ROW()-ROW(A$80)+1))),),"")</f>
        <v/>
      </c>
      <c r="AC90" s="1" t="str">
        <f t="array" ref="AC90">IFERROR(CONCATENATE((INDEX($AF$7:$AF$78,SMALL(IF($AF$7:$AF$78&lt;&gt;"",IF($AC$7:$AC$78&lt;&gt;"",ROW($AC$7:$AC$78)-MIN(ROW($AC$7:$AC$78))+1,""),""),ROW()-ROW(A$80)+1))),","),"")</f>
        <v/>
      </c>
      <c r="AD90" s="1" t="str">
        <f t="array" ref="AD90">IFERROR(CONCATENATE(TEXT(INDEX($AC$7:$AC$78,SMALL(IF($AF$7:$AF$78&lt;&gt;"",IF($AC$7:$AC$78&lt;&gt;"",ROW($AC$7:$AC$78)-MIN(ROW($AC$7:$AC$78))+1,""),""),ROW()-ROW(A$80)+1)),"##0"),","),"")</f>
        <v/>
      </c>
      <c r="AE90" s="1" t="str">
        <f t="array" ref="AE90">IFERROR(CONCATENATE((INDEX($A$7:$A$78,SMALL(IF($AF$7:$AF$78&lt;&gt;"",IF($AC$7:$AC$78&lt;&gt;"",ROW($AC$7:$AC$78)-MIN(ROW($AC$7:$AC$78))+1,""),""),ROW()-ROW(A$80)+1))),),"")</f>
        <v/>
      </c>
      <c r="AI90" s="1" t="str">
        <f t="array" ref="AI90">IFERROR(CONCATENATE((INDEX($AL$7:$AL$78,SMALL(IF($AL$7:$AL$78&lt;&gt;"",IF($AI$7:$AI$78&lt;&gt;"",ROW($AI$7:$AI$78)-MIN(ROW($AI$7:$AI$78))+1,""),""),ROW()-ROW(A$80)+1)))," "),"")</f>
        <v/>
      </c>
      <c r="AJ90" s="1" t="str">
        <f t="array" ref="AJ90">IFERROR(CONCATENATE(TEXT(INDEX($AI$7:$AI$78,SMALL(IF($AL$7:$AL$78&lt;&gt;"",IF($AI$7:$AI$78&lt;&gt;"",ROW($AI$7:$AI$78)-MIN(ROW($AI$7:$AI$78))+1,""),""),ROW()-ROW(A$80)+1)),"##0")," "),"")</f>
        <v/>
      </c>
      <c r="AK90" s="1" t="str">
        <f t="array" ref="AK90">IFERROR(CONCATENATE((INDEX($A$7:$A$78,SMALL(IF($AL$7:$AL$78&lt;&gt;"",IF($AI$7:$AI$78&lt;&gt;"",ROW($AI$7:$AI$78)-MIN(ROW($AI$7:$AI$78))+1,""),""),ROW()-ROW(A$80)+1))),),"")</f>
        <v/>
      </c>
    </row>
    <row r="91" spans="3:37" x14ac:dyDescent="0.25">
      <c r="K91" s="1" t="str">
        <f t="array" ref="K91">IFERROR(CONCATENATE(TEXT(INDEX($K$7:$K$78,SMALL(IF($N$7:$N$78&lt;&gt;"",IF($K$7:$K$78&lt;&gt;"",ROW($K$7:$K$78)-MIN(ROW($K$7:$K$78))+1,""),""),ROW()-ROW(A$80)+1)),"##0"),","),"")</f>
        <v/>
      </c>
      <c r="L91" s="1" t="str">
        <f t="array" ref="L91">IFERROR(CONCATENATE((INDEX($N$7:$N$78,SMALL(IF($N$7:$N$78&lt;&gt;"",IF($K$7:$K$78&lt;&gt;"",ROW($K$7:$K$78)-MIN(ROW($K$7:$K$78))+1,""),""),ROW()-ROW(A$80)+1))),","),"")</f>
        <v/>
      </c>
      <c r="M91" s="1" t="str">
        <f t="array" ref="M91">IFERROR(CONCATENATE((INDEX($A$7:$A$78,SMALL(IF($N$7:$N$78&lt;&gt;"",IF($K$7:$K$78&lt;&gt;"",ROW($K$7:$K$78)-MIN(ROW($K$7:$K$78))+1,""),""),ROW()-ROW(A$80)+1))),),"")</f>
        <v/>
      </c>
      <c r="Q91" s="1" t="str">
        <f t="array" ref="Q91">IFERROR(CONCATENATE((INDEX($T$7:$T$78,SMALL(IF($T$7:$T$78&lt;&gt;"",IF($Q$7:$Q$78&lt;&gt;"",ROW($Q$7:$Q$78)-MIN(ROW($Q$7:$Q$78))+1,""),""),ROW()-ROW(A$80)+1)))," "),"")</f>
        <v/>
      </c>
      <c r="R91" s="1" t="str">
        <f t="array" ref="R91">IFERROR(CONCATENATE(TEXT(INDEX($Q$7:$Q$78,SMALL(IF($T$7:$T$78&lt;&gt;"",IF($Q$7:$Q$78&lt;&gt;"",ROW($Q$7:$Q$78)-MIN(ROW($Q$7:$Q$78))+1,""),""),ROW()-ROW(A$80)+1)),"##0")," "),"")</f>
        <v/>
      </c>
      <c r="S91" s="1" t="str">
        <f t="array" ref="S91">IFERROR(CONCATENATE((INDEX($A$7:$A$78,SMALL(IF($T$7:$T$78&lt;&gt;"",IF($Q$7:$Q$78&lt;&gt;"",ROW($Q$7:$Q$78)-MIN(ROW($Q$7:$Q$78))+1,""),""),ROW()-ROW(A$80)+1))),),"")</f>
        <v/>
      </c>
      <c r="W91" s="1" t="str">
        <f t="array" ref="W91">IFERROR(CONCATENATE((INDEX($Z$7:$Z$78,SMALL(IF($Z$7:$Z$78&lt;&gt;"",IF($W$7:$W$78&lt;&gt;"",ROW($W$7:$W$78)-MIN(ROW($W$7:$W$78))+1,""),""),ROW()-ROW(A$80)+1)))," "),"")</f>
        <v/>
      </c>
      <c r="X91" s="1" t="str">
        <f t="array" ref="X91">IFERROR(CONCATENATE(TEXT(INDEX($W$7:$W$78,SMALL(IF($Z$7:$Z$78&lt;&gt;"",IF($W$7:$W$78&lt;&gt;"",ROW($W$7:$W$78)-MIN(ROW($W$7:$W$78))+1,""),""),ROW()-ROW(A$80)+1)),"##0")," "),"")</f>
        <v/>
      </c>
      <c r="Y91" s="1" t="str">
        <f t="array" ref="Y91">IFERROR(CONCATENATE((INDEX($A$7:$A$78,SMALL(IF($Z$7:$Z$78&lt;&gt;"",IF($W$7:$W$78&lt;&gt;"",ROW($W$7:$W$78)-MIN(ROW($W$7:$W$78))+1,""),""),ROW()-ROW(A$80)+1))),),"")</f>
        <v/>
      </c>
      <c r="AC91" s="1" t="str">
        <f t="array" ref="AC91">IFERROR(CONCATENATE((INDEX($AF$7:$AF$78,SMALL(IF($AF$7:$AF$78&lt;&gt;"",IF($AC$7:$AC$78&lt;&gt;"",ROW($AC$7:$AC$78)-MIN(ROW($AC$7:$AC$78))+1,""),""),ROW()-ROW(A$80)+1))),","),"")</f>
        <v/>
      </c>
      <c r="AD91" s="1" t="str">
        <f t="array" ref="AD91">IFERROR(CONCATENATE(TEXT(INDEX($AC$7:$AC$78,SMALL(IF($AF$7:$AF$78&lt;&gt;"",IF($AC$7:$AC$78&lt;&gt;"",ROW($AC$7:$AC$78)-MIN(ROW($AC$7:$AC$78))+1,""),""),ROW()-ROW(A$80)+1)),"##0"),","),"")</f>
        <v/>
      </c>
      <c r="AE91" s="1" t="str">
        <f t="array" ref="AE91">IFERROR(CONCATENATE((INDEX($A$7:$A$78,SMALL(IF($AF$7:$AF$78&lt;&gt;"",IF($AC$7:$AC$78&lt;&gt;"",ROW($AC$7:$AC$78)-MIN(ROW($AC$7:$AC$78))+1,""),""),ROW()-ROW(A$80)+1))),),"")</f>
        <v/>
      </c>
      <c r="AI91" s="1" t="str">
        <f t="array" ref="AI91">IFERROR(CONCATENATE((INDEX($AL$7:$AL$78,SMALL(IF($AL$7:$AL$78&lt;&gt;"",IF($AI$7:$AI$78&lt;&gt;"",ROW($AI$7:$AI$78)-MIN(ROW($AI$7:$AI$78))+1,""),""),ROW()-ROW(A$80)+1)))," "),"")</f>
        <v/>
      </c>
      <c r="AJ91" s="1" t="str">
        <f t="array" ref="AJ91">IFERROR(CONCATENATE(TEXT(INDEX($AI$7:$AI$78,SMALL(IF($AL$7:$AL$78&lt;&gt;"",IF($AI$7:$AI$78&lt;&gt;"",ROW($AI$7:$AI$78)-MIN(ROW($AI$7:$AI$78))+1,""),""),ROW()-ROW(A$80)+1)),"##0")," "),"")</f>
        <v/>
      </c>
      <c r="AK91" s="1" t="str">
        <f t="array" ref="AK91">IFERROR(CONCATENATE((INDEX($A$7:$A$78,SMALL(IF($AL$7:$AL$78&lt;&gt;"",IF($AI$7:$AI$78&lt;&gt;"",ROW($AI$7:$AI$78)-MIN(ROW($AI$7:$AI$78))+1,""),""),ROW()-ROW(A$80)+1))),),"")</f>
        <v/>
      </c>
    </row>
    <row r="92" spans="3:37" x14ac:dyDescent="0.25">
      <c r="K92" s="1" t="str">
        <f t="array" ref="K92">IFERROR(CONCATENATE(TEXT(INDEX($K$7:$K$78,SMALL(IF($N$7:$N$78&lt;&gt;"",IF($K$7:$K$78&lt;&gt;"",ROW($K$7:$K$78)-MIN(ROW($K$7:$K$78))+1,""),""),ROW()-ROW(A$80)+1)),"##0"),","),"")</f>
        <v/>
      </c>
      <c r="L92" s="1" t="str">
        <f t="array" ref="L92">IFERROR(CONCATENATE((INDEX($N$7:$N$78,SMALL(IF($N$7:$N$78&lt;&gt;"",IF($K$7:$K$78&lt;&gt;"",ROW($K$7:$K$78)-MIN(ROW($K$7:$K$78))+1,""),""),ROW()-ROW(A$80)+1))),","),"")</f>
        <v/>
      </c>
      <c r="M92" s="1" t="str">
        <f t="array" ref="M92">IFERROR(CONCATENATE((INDEX($A$7:$A$78,SMALL(IF($N$7:$N$78&lt;&gt;"",IF($K$7:$K$78&lt;&gt;"",ROW($K$7:$K$78)-MIN(ROW($K$7:$K$78))+1,""),""),ROW()-ROW(A$80)+1))),),"")</f>
        <v/>
      </c>
      <c r="Q92" s="1" t="str">
        <f t="array" ref="Q92">IFERROR(CONCATENATE((INDEX($T$7:$T$78,SMALL(IF($T$7:$T$78&lt;&gt;"",IF($Q$7:$Q$78&lt;&gt;"",ROW($Q$7:$Q$78)-MIN(ROW($Q$7:$Q$78))+1,""),""),ROW()-ROW(A$80)+1)))," "),"")</f>
        <v/>
      </c>
      <c r="R92" s="1" t="str">
        <f t="array" ref="R92">IFERROR(CONCATENATE(TEXT(INDEX($Q$7:$Q$78,SMALL(IF($T$7:$T$78&lt;&gt;"",IF($Q$7:$Q$78&lt;&gt;"",ROW($Q$7:$Q$78)-MIN(ROW($Q$7:$Q$78))+1,""),""),ROW()-ROW(A$80)+1)),"##0")," "),"")</f>
        <v/>
      </c>
      <c r="S92" s="1" t="str">
        <f t="array" ref="S92">IFERROR(CONCATENATE((INDEX($A$7:$A$78,SMALL(IF($T$7:$T$78&lt;&gt;"",IF($Q$7:$Q$78&lt;&gt;"",ROW($Q$7:$Q$78)-MIN(ROW($Q$7:$Q$78))+1,""),""),ROW()-ROW(A$80)+1))),),"")</f>
        <v/>
      </c>
      <c r="W92" s="1" t="str">
        <f t="array" ref="W92">IFERROR(CONCATENATE((INDEX($Z$7:$Z$78,SMALL(IF($Z$7:$Z$78&lt;&gt;"",IF($W$7:$W$78&lt;&gt;"",ROW($W$7:$W$78)-MIN(ROW($W$7:$W$78))+1,""),""),ROW()-ROW(A$80)+1)))," "),"")</f>
        <v/>
      </c>
      <c r="X92" s="1" t="str">
        <f t="array" ref="X92">IFERROR(CONCATENATE(TEXT(INDEX($W$7:$W$78,SMALL(IF($Z$7:$Z$78&lt;&gt;"",IF($W$7:$W$78&lt;&gt;"",ROW($W$7:$W$78)-MIN(ROW($W$7:$W$78))+1,""),""),ROW()-ROW(A$80)+1)),"##0")," "),"")</f>
        <v/>
      </c>
      <c r="Y92" s="1" t="str">
        <f t="array" ref="Y92">IFERROR(CONCATENATE((INDEX($A$7:$A$78,SMALL(IF($Z$7:$Z$78&lt;&gt;"",IF($W$7:$W$78&lt;&gt;"",ROW($W$7:$W$78)-MIN(ROW($W$7:$W$78))+1,""),""),ROW()-ROW(A$80)+1))),),"")</f>
        <v/>
      </c>
      <c r="AC92" s="1" t="str">
        <f t="array" ref="AC92">IFERROR(CONCATENATE((INDEX($AF$7:$AF$78,SMALL(IF($AF$7:$AF$78&lt;&gt;"",IF($AC$7:$AC$78&lt;&gt;"",ROW($AC$7:$AC$78)-MIN(ROW($AC$7:$AC$78))+1,""),""),ROW()-ROW(A$80)+1))),","),"")</f>
        <v/>
      </c>
      <c r="AD92" s="1" t="str">
        <f t="array" ref="AD92">IFERROR(CONCATENATE(TEXT(INDEX($AC$7:$AC$78,SMALL(IF($AF$7:$AF$78&lt;&gt;"",IF($AC$7:$AC$78&lt;&gt;"",ROW($AC$7:$AC$78)-MIN(ROW($AC$7:$AC$78))+1,""),""),ROW()-ROW(A$80)+1)),"##0"),","),"")</f>
        <v/>
      </c>
      <c r="AE92" s="1" t="str">
        <f t="array" ref="AE92">IFERROR(CONCATENATE((INDEX($A$7:$A$78,SMALL(IF($AF$7:$AF$78&lt;&gt;"",IF($AC$7:$AC$78&lt;&gt;"",ROW($AC$7:$AC$78)-MIN(ROW($AC$7:$AC$78))+1,""),""),ROW()-ROW(A$80)+1))),),"")</f>
        <v/>
      </c>
      <c r="AI92" s="1" t="str">
        <f t="array" ref="AI92">IFERROR(CONCATENATE((INDEX($AL$7:$AL$78,SMALL(IF($AL$7:$AL$78&lt;&gt;"",IF($AI$7:$AI$78&lt;&gt;"",ROW($AI$7:$AI$78)-MIN(ROW($AI$7:$AI$78))+1,""),""),ROW()-ROW(A$80)+1)))," "),"")</f>
        <v/>
      </c>
      <c r="AJ92" s="1" t="str">
        <f t="array" ref="AJ92">IFERROR(CONCATENATE(TEXT(INDEX($AI$7:$AI$78,SMALL(IF($AL$7:$AL$78&lt;&gt;"",IF($AI$7:$AI$78&lt;&gt;"",ROW($AI$7:$AI$78)-MIN(ROW($AI$7:$AI$78))+1,""),""),ROW()-ROW(A$80)+1)),"##0")," "),"")</f>
        <v/>
      </c>
      <c r="AK92" s="1" t="str">
        <f t="array" ref="AK92">IFERROR(CONCATENATE((INDEX($A$7:$A$78,SMALL(IF($AL$7:$AL$78&lt;&gt;"",IF($AI$7:$AI$78&lt;&gt;"",ROW($AI$7:$AI$78)-MIN(ROW($AI$7:$AI$78))+1,""),""),ROW()-ROW(A$80)+1))),),"")</f>
        <v/>
      </c>
    </row>
    <row r="93" spans="3:37" x14ac:dyDescent="0.25">
      <c r="K93" s="1" t="str">
        <f t="array" ref="K93">IFERROR(CONCATENATE(TEXT(INDEX($K$7:$K$78,SMALL(IF($N$7:$N$78&lt;&gt;"",IF($K$7:$K$78&lt;&gt;"",ROW($K$7:$K$78)-MIN(ROW($K$7:$K$78))+1,""),""),ROW()-ROW(A$80)+1)),"##0"),","),"")</f>
        <v/>
      </c>
      <c r="L93" s="1" t="str">
        <f t="array" ref="L93">IFERROR(CONCATENATE((INDEX($N$7:$N$78,SMALL(IF($N$7:$N$78&lt;&gt;"",IF($K$7:$K$78&lt;&gt;"",ROW($K$7:$K$78)-MIN(ROW($K$7:$K$78))+1,""),""),ROW()-ROW(A$80)+1))),","),"")</f>
        <v/>
      </c>
      <c r="M93" s="1" t="str">
        <f t="array" ref="M93">IFERROR(CONCATENATE((INDEX($A$7:$A$78,SMALL(IF($N$7:$N$78&lt;&gt;"",IF($K$7:$K$78&lt;&gt;"",ROW($K$7:$K$78)-MIN(ROW($K$7:$K$78))+1,""),""),ROW()-ROW(A$80)+1))),),"")</f>
        <v/>
      </c>
      <c r="Q93" s="1" t="str">
        <f t="array" ref="Q93">IFERROR(CONCATENATE((INDEX($T$7:$T$78,SMALL(IF($T$7:$T$78&lt;&gt;"",IF($Q$7:$Q$78&lt;&gt;"",ROW($Q$7:$Q$78)-MIN(ROW($Q$7:$Q$78))+1,""),""),ROW()-ROW(A$80)+1)))," "),"")</f>
        <v/>
      </c>
      <c r="R93" s="1" t="str">
        <f t="array" ref="R93">IFERROR(CONCATENATE(TEXT(INDEX($Q$7:$Q$78,SMALL(IF($T$7:$T$78&lt;&gt;"",IF($Q$7:$Q$78&lt;&gt;"",ROW($Q$7:$Q$78)-MIN(ROW($Q$7:$Q$78))+1,""),""),ROW()-ROW(A$80)+1)),"##0")," "),"")</f>
        <v/>
      </c>
      <c r="S93" s="1" t="str">
        <f t="array" ref="S93">IFERROR(CONCATENATE((INDEX($A$7:$A$78,SMALL(IF($T$7:$T$78&lt;&gt;"",IF($Q$7:$Q$78&lt;&gt;"",ROW($Q$7:$Q$78)-MIN(ROW($Q$7:$Q$78))+1,""),""),ROW()-ROW(A$80)+1))),),"")</f>
        <v/>
      </c>
      <c r="W93" s="1" t="str">
        <f t="array" ref="W93">IFERROR(CONCATENATE((INDEX($Z$7:$Z$78,SMALL(IF($Z$7:$Z$78&lt;&gt;"",IF($W$7:$W$78&lt;&gt;"",ROW($W$7:$W$78)-MIN(ROW($W$7:$W$78))+1,""),""),ROW()-ROW(A$80)+1)))," "),"")</f>
        <v/>
      </c>
      <c r="X93" s="1" t="str">
        <f t="array" ref="X93">IFERROR(CONCATENATE(TEXT(INDEX($W$7:$W$78,SMALL(IF($Z$7:$Z$78&lt;&gt;"",IF($W$7:$W$78&lt;&gt;"",ROW($W$7:$W$78)-MIN(ROW($W$7:$W$78))+1,""),""),ROW()-ROW(A$80)+1)),"##0")," "),"")</f>
        <v/>
      </c>
      <c r="Y93" s="1" t="str">
        <f t="array" ref="Y93">IFERROR(CONCATENATE((INDEX($A$7:$A$78,SMALL(IF($Z$7:$Z$78&lt;&gt;"",IF($W$7:$W$78&lt;&gt;"",ROW($W$7:$W$78)-MIN(ROW($W$7:$W$78))+1,""),""),ROW()-ROW(A$80)+1))),),"")</f>
        <v/>
      </c>
      <c r="AC93" s="1" t="str">
        <f t="array" ref="AC93">IFERROR(CONCATENATE((INDEX($AF$7:$AF$78,SMALL(IF($AF$7:$AF$78&lt;&gt;"",IF($AC$7:$AC$78&lt;&gt;"",ROW($AC$7:$AC$78)-MIN(ROW($AC$7:$AC$78))+1,""),""),ROW()-ROW(A$80)+1))),","),"")</f>
        <v/>
      </c>
      <c r="AD93" s="1" t="str">
        <f t="array" ref="AD93">IFERROR(CONCATENATE(TEXT(INDEX($AC$7:$AC$78,SMALL(IF($AF$7:$AF$78&lt;&gt;"",IF($AC$7:$AC$78&lt;&gt;"",ROW($AC$7:$AC$78)-MIN(ROW($AC$7:$AC$78))+1,""),""),ROW()-ROW(A$80)+1)),"##0"),","),"")</f>
        <v/>
      </c>
      <c r="AE93" s="1" t="str">
        <f t="array" ref="AE93">IFERROR(CONCATENATE((INDEX($A$7:$A$78,SMALL(IF($AF$7:$AF$78&lt;&gt;"",IF($AC$7:$AC$78&lt;&gt;"",ROW($AC$7:$AC$78)-MIN(ROW($AC$7:$AC$78))+1,""),""),ROW()-ROW(A$80)+1))),),"")</f>
        <v/>
      </c>
      <c r="AI93" s="1" t="str">
        <f t="array" ref="AI93">IFERROR(CONCATENATE((INDEX($AL$7:$AL$78,SMALL(IF($AL$7:$AL$78&lt;&gt;"",IF($AI$7:$AI$78&lt;&gt;"",ROW($AI$7:$AI$78)-MIN(ROW($AI$7:$AI$78))+1,""),""),ROW()-ROW(A$80)+1)))," "),"")</f>
        <v/>
      </c>
      <c r="AJ93" s="1" t="str">
        <f t="array" ref="AJ93">IFERROR(CONCATENATE(TEXT(INDEX($AI$7:$AI$78,SMALL(IF($AL$7:$AL$78&lt;&gt;"",IF($AI$7:$AI$78&lt;&gt;"",ROW($AI$7:$AI$78)-MIN(ROW($AI$7:$AI$78))+1,""),""),ROW()-ROW(A$80)+1)),"##0")," "),"")</f>
        <v/>
      </c>
      <c r="AK93" s="1" t="str">
        <f t="array" ref="AK93">IFERROR(CONCATENATE((INDEX($A$7:$A$78,SMALL(IF($AL$7:$AL$78&lt;&gt;"",IF($AI$7:$AI$78&lt;&gt;"",ROW($AI$7:$AI$78)-MIN(ROW($AI$7:$AI$78))+1,""),""),ROW()-ROW(A$80)+1))),),"")</f>
        <v/>
      </c>
    </row>
    <row r="94" spans="3:37" x14ac:dyDescent="0.25">
      <c r="K94" s="1" t="str">
        <f t="array" ref="K94">IFERROR(CONCATENATE(TEXT(INDEX($K$7:$K$78,SMALL(IF($N$7:$N$78&lt;&gt;"",IF($K$7:$K$78&lt;&gt;"",ROW($K$7:$K$78)-MIN(ROW($K$7:$K$78))+1,""),""),ROW()-ROW(A$80)+1)),"##0"),","),"")</f>
        <v/>
      </c>
      <c r="L94" s="1" t="str">
        <f t="array" ref="L94">IFERROR(CONCATENATE((INDEX($N$7:$N$78,SMALL(IF($N$7:$N$78&lt;&gt;"",IF($K$7:$K$78&lt;&gt;"",ROW($K$7:$K$78)-MIN(ROW($K$7:$K$78))+1,""),""),ROW()-ROW(A$80)+1))),","),"")</f>
        <v/>
      </c>
      <c r="M94" s="1" t="str">
        <f t="array" ref="M94">IFERROR(CONCATENATE((INDEX($A$7:$A$78,SMALL(IF($N$7:$N$78&lt;&gt;"",IF($K$7:$K$78&lt;&gt;"",ROW($K$7:$K$78)-MIN(ROW($K$7:$K$78))+1,""),""),ROW()-ROW(A$80)+1))),),"")</f>
        <v/>
      </c>
      <c r="Q94" s="1" t="str">
        <f t="array" ref="Q94">IFERROR(CONCATENATE((INDEX($T$7:$T$78,SMALL(IF($T$7:$T$78&lt;&gt;"",IF($Q$7:$Q$78&lt;&gt;"",ROW($Q$7:$Q$78)-MIN(ROW($Q$7:$Q$78))+1,""),""),ROW()-ROW(A$80)+1)))," "),"")</f>
        <v/>
      </c>
      <c r="R94" s="1" t="str">
        <f t="array" ref="R94">IFERROR(CONCATENATE(TEXT(INDEX($Q$7:$Q$78,SMALL(IF($T$7:$T$78&lt;&gt;"",IF($Q$7:$Q$78&lt;&gt;"",ROW($Q$7:$Q$78)-MIN(ROW($Q$7:$Q$78))+1,""),""),ROW()-ROW(A$80)+1)),"##0")," "),"")</f>
        <v/>
      </c>
      <c r="S94" s="1" t="str">
        <f t="array" ref="S94">IFERROR(CONCATENATE((INDEX($A$7:$A$78,SMALL(IF($T$7:$T$78&lt;&gt;"",IF($Q$7:$Q$78&lt;&gt;"",ROW($Q$7:$Q$78)-MIN(ROW($Q$7:$Q$78))+1,""),""),ROW()-ROW(A$80)+1))),),"")</f>
        <v/>
      </c>
      <c r="W94" s="1" t="str">
        <f t="array" ref="W94">IFERROR(CONCATENATE((INDEX($Z$7:$Z$78,SMALL(IF($Z$7:$Z$78&lt;&gt;"",IF($W$7:$W$78&lt;&gt;"",ROW($W$7:$W$78)-MIN(ROW($W$7:$W$78))+1,""),""),ROW()-ROW(A$80)+1)))," "),"")</f>
        <v/>
      </c>
      <c r="X94" s="1" t="str">
        <f t="array" ref="X94">IFERROR(CONCATENATE(TEXT(INDEX($W$7:$W$78,SMALL(IF($Z$7:$Z$78&lt;&gt;"",IF($W$7:$W$78&lt;&gt;"",ROW($W$7:$W$78)-MIN(ROW($W$7:$W$78))+1,""),""),ROW()-ROW(A$80)+1)),"##0")," "),"")</f>
        <v/>
      </c>
      <c r="Y94" s="1" t="str">
        <f t="array" ref="Y94">IFERROR(CONCATENATE((INDEX($A$7:$A$78,SMALL(IF($Z$7:$Z$78&lt;&gt;"",IF($W$7:$W$78&lt;&gt;"",ROW($W$7:$W$78)-MIN(ROW($W$7:$W$78))+1,""),""),ROW()-ROW(A$80)+1))),),"")</f>
        <v/>
      </c>
      <c r="AC94" s="1" t="str">
        <f t="array" ref="AC94">IFERROR(CONCATENATE((INDEX($AF$7:$AF$78,SMALL(IF($AF$7:$AF$78&lt;&gt;"",IF($AC$7:$AC$78&lt;&gt;"",ROW($AC$7:$AC$78)-MIN(ROW($AC$7:$AC$78))+1,""),""),ROW()-ROW(A$80)+1))),","),"")</f>
        <v/>
      </c>
      <c r="AD94" s="1" t="str">
        <f t="array" ref="AD94">IFERROR(CONCATENATE(TEXT(INDEX($AC$7:$AC$78,SMALL(IF($AF$7:$AF$78&lt;&gt;"",IF($AC$7:$AC$78&lt;&gt;"",ROW($AC$7:$AC$78)-MIN(ROW($AC$7:$AC$78))+1,""),""),ROW()-ROW(A$80)+1)),"##0"),","),"")</f>
        <v/>
      </c>
      <c r="AE94" s="1" t="str">
        <f t="array" ref="AE94">IFERROR(CONCATENATE((INDEX($A$7:$A$78,SMALL(IF($AF$7:$AF$78&lt;&gt;"",IF($AC$7:$AC$78&lt;&gt;"",ROW($AC$7:$AC$78)-MIN(ROW($AC$7:$AC$78))+1,""),""),ROW()-ROW(A$80)+1))),),"")</f>
        <v/>
      </c>
      <c r="AI94" s="1" t="str">
        <f t="array" ref="AI94">IFERROR(CONCATENATE((INDEX($AL$7:$AL$78,SMALL(IF($AL$7:$AL$78&lt;&gt;"",IF($AI$7:$AI$78&lt;&gt;"",ROW($AI$7:$AI$78)-MIN(ROW($AI$7:$AI$78))+1,""),""),ROW()-ROW(A$80)+1)))," "),"")</f>
        <v/>
      </c>
      <c r="AJ94" s="1" t="str">
        <f t="array" ref="AJ94">IFERROR(CONCATENATE(TEXT(INDEX($AI$7:$AI$78,SMALL(IF($AL$7:$AL$78&lt;&gt;"",IF($AI$7:$AI$78&lt;&gt;"",ROW($AI$7:$AI$78)-MIN(ROW($AI$7:$AI$78))+1,""),""),ROW()-ROW(A$80)+1)),"##0")," "),"")</f>
        <v/>
      </c>
      <c r="AK94" s="1" t="str">
        <f t="array" ref="AK94">IFERROR(CONCATENATE((INDEX($A$7:$A$78,SMALL(IF($AL$7:$AL$78&lt;&gt;"",IF($AI$7:$AI$78&lt;&gt;"",ROW($AI$7:$AI$78)-MIN(ROW($AI$7:$AI$78))+1,""),""),ROW()-ROW(A$80)+1))),),"")</f>
        <v/>
      </c>
    </row>
    <row r="95" spans="3:37" x14ac:dyDescent="0.25">
      <c r="K95" s="1" t="str">
        <f t="array" ref="K95">IFERROR(CONCATENATE(TEXT(INDEX($K$7:$K$78,SMALL(IF($N$7:$N$78&lt;&gt;"",IF($K$7:$K$78&lt;&gt;"",ROW($K$7:$K$78)-MIN(ROW($K$7:$K$78))+1,""),""),ROW()-ROW(A$80)+1)),"##0"),","),"")</f>
        <v/>
      </c>
      <c r="L95" s="1" t="str">
        <f t="array" ref="L95">IFERROR(CONCATENATE((INDEX($N$7:$N$78,SMALL(IF($N$7:$N$78&lt;&gt;"",IF($K$7:$K$78&lt;&gt;"",ROW($K$7:$K$78)-MIN(ROW($K$7:$K$78))+1,""),""),ROW()-ROW(A$80)+1))),","),"")</f>
        <v/>
      </c>
      <c r="M95" s="1" t="str">
        <f t="array" ref="M95">IFERROR(CONCATENATE((INDEX($A$7:$A$78,SMALL(IF($N$7:$N$78&lt;&gt;"",IF($K$7:$K$78&lt;&gt;"",ROW($K$7:$K$78)-MIN(ROW($K$7:$K$78))+1,""),""),ROW()-ROW(A$80)+1))),),"")</f>
        <v/>
      </c>
      <c r="Q95" s="1" t="str">
        <f t="array" ref="Q95">IFERROR(CONCATENATE((INDEX($T$7:$T$78,SMALL(IF($T$7:$T$78&lt;&gt;"",IF($Q$7:$Q$78&lt;&gt;"",ROW($Q$7:$Q$78)-MIN(ROW($Q$7:$Q$78))+1,""),""),ROW()-ROW(A$80)+1)))," "),"")</f>
        <v/>
      </c>
      <c r="R95" s="1" t="str">
        <f t="array" ref="R95">IFERROR(CONCATENATE(TEXT(INDEX($Q$7:$Q$78,SMALL(IF($T$7:$T$78&lt;&gt;"",IF($Q$7:$Q$78&lt;&gt;"",ROW($Q$7:$Q$78)-MIN(ROW($Q$7:$Q$78))+1,""),""),ROW()-ROW(A$80)+1)),"##0")," "),"")</f>
        <v/>
      </c>
      <c r="S95" s="1" t="str">
        <f t="array" ref="S95">IFERROR(CONCATENATE((INDEX($A$7:$A$78,SMALL(IF($T$7:$T$78&lt;&gt;"",IF($Q$7:$Q$78&lt;&gt;"",ROW($Q$7:$Q$78)-MIN(ROW($Q$7:$Q$78))+1,""),""),ROW()-ROW(A$80)+1))),),"")</f>
        <v/>
      </c>
      <c r="W95" s="1" t="str">
        <f t="array" ref="W95">IFERROR(CONCATENATE((INDEX($Z$7:$Z$78,SMALL(IF($Z$7:$Z$78&lt;&gt;"",IF($W$7:$W$78&lt;&gt;"",ROW($W$7:$W$78)-MIN(ROW($W$7:$W$78))+1,""),""),ROW()-ROW(A$80)+1)))," "),"")</f>
        <v/>
      </c>
      <c r="X95" s="1" t="str">
        <f t="array" ref="X95">IFERROR(CONCATENATE(TEXT(INDEX($W$7:$W$78,SMALL(IF($Z$7:$Z$78&lt;&gt;"",IF($W$7:$W$78&lt;&gt;"",ROW($W$7:$W$78)-MIN(ROW($W$7:$W$78))+1,""),""),ROW()-ROW(A$80)+1)),"##0")," "),"")</f>
        <v/>
      </c>
      <c r="Y95" s="1" t="str">
        <f t="array" ref="Y95">IFERROR(CONCATENATE((INDEX($A$7:$A$78,SMALL(IF($Z$7:$Z$78&lt;&gt;"",IF($W$7:$W$78&lt;&gt;"",ROW($W$7:$W$78)-MIN(ROW($W$7:$W$78))+1,""),""),ROW()-ROW(A$80)+1))),),"")</f>
        <v/>
      </c>
      <c r="AC95" s="1" t="str">
        <f t="array" ref="AC95">IFERROR(CONCATENATE((INDEX($AF$7:$AF$78,SMALL(IF($AF$7:$AF$78&lt;&gt;"",IF($AC$7:$AC$78&lt;&gt;"",ROW($AC$7:$AC$78)-MIN(ROW($AC$7:$AC$78))+1,""),""),ROW()-ROW(A$80)+1))),","),"")</f>
        <v/>
      </c>
      <c r="AD95" s="1" t="str">
        <f t="array" ref="AD95">IFERROR(CONCATENATE(TEXT(INDEX($AC$7:$AC$78,SMALL(IF($AF$7:$AF$78&lt;&gt;"",IF($AC$7:$AC$78&lt;&gt;"",ROW($AC$7:$AC$78)-MIN(ROW($AC$7:$AC$78))+1,""),""),ROW()-ROW(A$80)+1)),"##0"),","),"")</f>
        <v/>
      </c>
      <c r="AE95" s="1" t="str">
        <f t="array" ref="AE95">IFERROR(CONCATENATE((INDEX($A$7:$A$78,SMALL(IF($AF$7:$AF$78&lt;&gt;"",IF($AC$7:$AC$78&lt;&gt;"",ROW($AC$7:$AC$78)-MIN(ROW($AC$7:$AC$78))+1,""),""),ROW()-ROW(A$80)+1))),),"")</f>
        <v/>
      </c>
      <c r="AI95" s="1" t="str">
        <f t="array" ref="AI95">IFERROR(CONCATENATE((INDEX($AL$7:$AL$78,SMALL(IF($AL$7:$AL$78&lt;&gt;"",IF($AI$7:$AI$78&lt;&gt;"",ROW($AI$7:$AI$78)-MIN(ROW($AI$7:$AI$78))+1,""),""),ROW()-ROW(A$80)+1)))," "),"")</f>
        <v/>
      </c>
      <c r="AJ95" s="1" t="str">
        <f t="array" ref="AJ95">IFERROR(CONCATENATE(TEXT(INDEX($AI$7:$AI$78,SMALL(IF($AL$7:$AL$78&lt;&gt;"",IF($AI$7:$AI$78&lt;&gt;"",ROW($AI$7:$AI$78)-MIN(ROW($AI$7:$AI$78))+1,""),""),ROW()-ROW(A$80)+1)),"##0")," "),"")</f>
        <v/>
      </c>
      <c r="AK95" s="1" t="str">
        <f t="array" ref="AK95">IFERROR(CONCATENATE((INDEX($A$7:$A$78,SMALL(IF($AL$7:$AL$78&lt;&gt;"",IF($AI$7:$AI$78&lt;&gt;"",ROW($AI$7:$AI$78)-MIN(ROW($AI$7:$AI$78))+1,""),""),ROW()-ROW(A$80)+1))),),"")</f>
        <v/>
      </c>
    </row>
    <row r="96" spans="3:37" x14ac:dyDescent="0.25">
      <c r="K96" s="1" t="str">
        <f t="array" ref="K96">IFERROR(CONCATENATE(TEXT(INDEX($K$7:$K$78,SMALL(IF($N$7:$N$78&lt;&gt;"",IF($K$7:$K$78&lt;&gt;"",ROW($K$7:$K$78)-MIN(ROW($K$7:$K$78))+1,""),""),ROW()-ROW(A$80)+1)),"##0"),","),"")</f>
        <v/>
      </c>
      <c r="L96" s="1" t="str">
        <f t="array" ref="L96">IFERROR(CONCATENATE((INDEX($N$7:$N$78,SMALL(IF($N$7:$N$78&lt;&gt;"",IF($K$7:$K$78&lt;&gt;"",ROW($K$7:$K$78)-MIN(ROW($K$7:$K$78))+1,""),""),ROW()-ROW(A$80)+1))),","),"")</f>
        <v/>
      </c>
      <c r="M96" s="1" t="str">
        <f t="array" ref="M96">IFERROR(CONCATENATE((INDEX($A$7:$A$78,SMALL(IF($N$7:$N$78&lt;&gt;"",IF($K$7:$K$78&lt;&gt;"",ROW($K$7:$K$78)-MIN(ROW($K$7:$K$78))+1,""),""),ROW()-ROW(A$80)+1))),),"")</f>
        <v/>
      </c>
      <c r="Q96" s="1" t="str">
        <f t="array" ref="Q96">IFERROR(CONCATENATE((INDEX($T$7:$T$78,SMALL(IF($T$7:$T$78&lt;&gt;"",IF($Q$7:$Q$78&lt;&gt;"",ROW($Q$7:$Q$78)-MIN(ROW($Q$7:$Q$78))+1,""),""),ROW()-ROW(A$80)+1)))," "),"")</f>
        <v/>
      </c>
      <c r="R96" s="1" t="str">
        <f t="array" ref="R96">IFERROR(CONCATENATE(TEXT(INDEX($Q$7:$Q$78,SMALL(IF($T$7:$T$78&lt;&gt;"",IF($Q$7:$Q$78&lt;&gt;"",ROW($Q$7:$Q$78)-MIN(ROW($Q$7:$Q$78))+1,""),""),ROW()-ROW(A$80)+1)),"##0")," "),"")</f>
        <v/>
      </c>
      <c r="S96" s="1" t="str">
        <f t="array" ref="S96">IFERROR(CONCATENATE((INDEX($A$7:$A$78,SMALL(IF($T$7:$T$78&lt;&gt;"",IF($Q$7:$Q$78&lt;&gt;"",ROW($Q$7:$Q$78)-MIN(ROW($Q$7:$Q$78))+1,""),""),ROW()-ROW(A$80)+1))),),"")</f>
        <v/>
      </c>
      <c r="W96" s="1" t="str">
        <f t="array" ref="W96">IFERROR(CONCATENATE((INDEX($Z$7:$Z$78,SMALL(IF($Z$7:$Z$78&lt;&gt;"",IF($W$7:$W$78&lt;&gt;"",ROW($W$7:$W$78)-MIN(ROW($W$7:$W$78))+1,""),""),ROW()-ROW(A$80)+1)))," "),"")</f>
        <v/>
      </c>
      <c r="X96" s="1" t="str">
        <f t="array" ref="X96">IFERROR(CONCATENATE(TEXT(INDEX($W$7:$W$78,SMALL(IF($Z$7:$Z$78&lt;&gt;"",IF($W$7:$W$78&lt;&gt;"",ROW($W$7:$W$78)-MIN(ROW($W$7:$W$78))+1,""),""),ROW()-ROW(A$80)+1)),"##0")," "),"")</f>
        <v/>
      </c>
      <c r="Y96" s="1" t="str">
        <f t="array" ref="Y96">IFERROR(CONCATENATE((INDEX($A$7:$A$78,SMALL(IF($Z$7:$Z$78&lt;&gt;"",IF($W$7:$W$78&lt;&gt;"",ROW($W$7:$W$78)-MIN(ROW($W$7:$W$78))+1,""),""),ROW()-ROW(A$80)+1))),),"")</f>
        <v/>
      </c>
      <c r="AC96" s="1" t="str">
        <f t="array" ref="AC96">IFERROR(CONCATENATE((INDEX($AF$7:$AF$78,SMALL(IF($AF$7:$AF$78&lt;&gt;"",IF($AC$7:$AC$78&lt;&gt;"",ROW($AC$7:$AC$78)-MIN(ROW($AC$7:$AC$78))+1,""),""),ROW()-ROW(A$80)+1))),","),"")</f>
        <v/>
      </c>
      <c r="AD96" s="1" t="str">
        <f t="array" ref="AD96">IFERROR(CONCATENATE(TEXT(INDEX($AC$7:$AC$78,SMALL(IF($AF$7:$AF$78&lt;&gt;"",IF($AC$7:$AC$78&lt;&gt;"",ROW($AC$7:$AC$78)-MIN(ROW($AC$7:$AC$78))+1,""),""),ROW()-ROW(A$80)+1)),"##0"),","),"")</f>
        <v/>
      </c>
      <c r="AE96" s="1" t="str">
        <f t="array" ref="AE96">IFERROR(CONCATENATE((INDEX($A$7:$A$78,SMALL(IF($AF$7:$AF$78&lt;&gt;"",IF($AC$7:$AC$78&lt;&gt;"",ROW($AC$7:$AC$78)-MIN(ROW($AC$7:$AC$78))+1,""),""),ROW()-ROW(A$80)+1))),),"")</f>
        <v/>
      </c>
      <c r="AI96" s="1" t="str">
        <f t="array" ref="AI96">IFERROR(CONCATENATE((INDEX($AL$7:$AL$78,SMALL(IF($AL$7:$AL$78&lt;&gt;"",IF($AI$7:$AI$78&lt;&gt;"",ROW($AI$7:$AI$78)-MIN(ROW($AI$7:$AI$78))+1,""),""),ROW()-ROW(A$80)+1)))," "),"")</f>
        <v/>
      </c>
      <c r="AJ96" s="1" t="str">
        <f t="array" ref="AJ96">IFERROR(CONCATENATE(TEXT(INDEX($AI$7:$AI$78,SMALL(IF($AL$7:$AL$78&lt;&gt;"",IF($AI$7:$AI$78&lt;&gt;"",ROW($AI$7:$AI$78)-MIN(ROW($AI$7:$AI$78))+1,""),""),ROW()-ROW(A$80)+1)),"##0")," "),"")</f>
        <v/>
      </c>
      <c r="AK96" s="1" t="str">
        <f t="array" ref="AK96">IFERROR(CONCATENATE((INDEX($A$7:$A$78,SMALL(IF($AL$7:$AL$78&lt;&gt;"",IF($AI$7:$AI$78&lt;&gt;"",ROW($AI$7:$AI$78)-MIN(ROW($AI$7:$AI$78))+1,""),""),ROW()-ROW(A$80)+1))),),"")</f>
        <v/>
      </c>
    </row>
    <row r="97" spans="11:37" x14ac:dyDescent="0.25">
      <c r="K97" s="1" t="str">
        <f t="array" ref="K97">IFERROR(CONCATENATE(TEXT(INDEX($K$7:$K$78,SMALL(IF($N$7:$N$78&lt;&gt;"",IF($K$7:$K$78&lt;&gt;"",ROW($K$7:$K$78)-MIN(ROW($K$7:$K$78))+1,""),""),ROW()-ROW(A$80)+1)),"##0"),","),"")</f>
        <v/>
      </c>
      <c r="L97" s="1" t="str">
        <f t="array" ref="L97">IFERROR(CONCATENATE((INDEX($N$7:$N$78,SMALL(IF($N$7:$N$78&lt;&gt;"",IF($K$7:$K$78&lt;&gt;"",ROW($K$7:$K$78)-MIN(ROW($K$7:$K$78))+1,""),""),ROW()-ROW(A$80)+1))),","),"")</f>
        <v/>
      </c>
      <c r="M97" s="1" t="str">
        <f t="array" ref="M97">IFERROR(CONCATENATE((INDEX($A$7:$A$78,SMALL(IF($N$7:$N$78&lt;&gt;"",IF($K$7:$K$78&lt;&gt;"",ROW($K$7:$K$78)-MIN(ROW($K$7:$K$78))+1,""),""),ROW()-ROW(A$80)+1))),),"")</f>
        <v/>
      </c>
      <c r="Q97" s="1" t="str">
        <f t="array" ref="Q97">IFERROR(CONCATENATE((INDEX($T$7:$T$78,SMALL(IF($T$7:$T$78&lt;&gt;"",IF($Q$7:$Q$78&lt;&gt;"",ROW($Q$7:$Q$78)-MIN(ROW($Q$7:$Q$78))+1,""),""),ROW()-ROW(A$80)+1)))," "),"")</f>
        <v/>
      </c>
      <c r="R97" s="1" t="str">
        <f t="array" ref="R97">IFERROR(CONCATENATE(TEXT(INDEX($Q$7:$Q$78,SMALL(IF($T$7:$T$78&lt;&gt;"",IF($Q$7:$Q$78&lt;&gt;"",ROW($Q$7:$Q$78)-MIN(ROW($Q$7:$Q$78))+1,""),""),ROW()-ROW(A$80)+1)),"##0")," "),"")</f>
        <v/>
      </c>
      <c r="S97" s="1" t="str">
        <f t="array" ref="S97">IFERROR(CONCATENATE((INDEX($A$7:$A$78,SMALL(IF($T$7:$T$78&lt;&gt;"",IF($Q$7:$Q$78&lt;&gt;"",ROW($Q$7:$Q$78)-MIN(ROW($Q$7:$Q$78))+1,""),""),ROW()-ROW(A$80)+1))),),"")</f>
        <v/>
      </c>
      <c r="W97" s="1" t="str">
        <f t="array" ref="W97">IFERROR(CONCATENATE((INDEX($Z$7:$Z$78,SMALL(IF($Z$7:$Z$78&lt;&gt;"",IF($W$7:$W$78&lt;&gt;"",ROW($W$7:$W$78)-MIN(ROW($W$7:$W$78))+1,""),""),ROW()-ROW(A$80)+1)))," "),"")</f>
        <v/>
      </c>
      <c r="X97" s="1" t="str">
        <f t="array" ref="X97">IFERROR(CONCATENATE(TEXT(INDEX($W$7:$W$78,SMALL(IF($Z$7:$Z$78&lt;&gt;"",IF($W$7:$W$78&lt;&gt;"",ROW($W$7:$W$78)-MIN(ROW($W$7:$W$78))+1,""),""),ROW()-ROW(A$80)+1)),"##0")," "),"")</f>
        <v/>
      </c>
      <c r="Y97" s="1" t="str">
        <f t="array" ref="Y97">IFERROR(CONCATENATE((INDEX($A$7:$A$78,SMALL(IF($Z$7:$Z$78&lt;&gt;"",IF($W$7:$W$78&lt;&gt;"",ROW($W$7:$W$78)-MIN(ROW($W$7:$W$78))+1,""),""),ROW()-ROW(A$80)+1))),),"")</f>
        <v/>
      </c>
      <c r="AC97" s="1" t="str">
        <f t="array" ref="AC97">IFERROR(CONCATENATE((INDEX($AF$7:$AF$78,SMALL(IF($AF$7:$AF$78&lt;&gt;"",IF($AC$7:$AC$78&lt;&gt;"",ROW($AC$7:$AC$78)-MIN(ROW($AC$7:$AC$78))+1,""),""),ROW()-ROW(A$80)+1))),","),"")</f>
        <v/>
      </c>
      <c r="AD97" s="1" t="str">
        <f t="array" ref="AD97">IFERROR(CONCATENATE(TEXT(INDEX($AC$7:$AC$78,SMALL(IF($AF$7:$AF$78&lt;&gt;"",IF($AC$7:$AC$78&lt;&gt;"",ROW($AC$7:$AC$78)-MIN(ROW($AC$7:$AC$78))+1,""),""),ROW()-ROW(A$80)+1)),"##0"),","),"")</f>
        <v/>
      </c>
      <c r="AE97" s="1" t="str">
        <f t="array" ref="AE97">IFERROR(CONCATENATE((INDEX($A$7:$A$78,SMALL(IF($AF$7:$AF$78&lt;&gt;"",IF($AC$7:$AC$78&lt;&gt;"",ROW($AC$7:$AC$78)-MIN(ROW($AC$7:$AC$78))+1,""),""),ROW()-ROW(A$80)+1))),),"")</f>
        <v/>
      </c>
      <c r="AI97" s="1" t="str">
        <f t="array" ref="AI97">IFERROR(CONCATENATE((INDEX($AL$7:$AL$78,SMALL(IF($AL$7:$AL$78&lt;&gt;"",IF($AI$7:$AI$78&lt;&gt;"",ROW($AI$7:$AI$78)-MIN(ROW($AI$7:$AI$78))+1,""),""),ROW()-ROW(A$80)+1)))," "),"")</f>
        <v/>
      </c>
      <c r="AJ97" s="1" t="str">
        <f t="array" ref="AJ97">IFERROR(CONCATENATE(TEXT(INDEX($AI$7:$AI$78,SMALL(IF($AL$7:$AL$78&lt;&gt;"",IF($AI$7:$AI$78&lt;&gt;"",ROW($AI$7:$AI$78)-MIN(ROW($AI$7:$AI$78))+1,""),""),ROW()-ROW(A$80)+1)),"##0")," "),"")</f>
        <v/>
      </c>
      <c r="AK97" s="1" t="str">
        <f t="array" ref="AK97">IFERROR(CONCATENATE((INDEX($A$7:$A$78,SMALL(IF($AL$7:$AL$78&lt;&gt;"",IF($AI$7:$AI$78&lt;&gt;"",ROW($AI$7:$AI$78)-MIN(ROW($AI$7:$AI$78))+1,""),""),ROW()-ROW(A$80)+1))),),"")</f>
        <v/>
      </c>
    </row>
    <row r="98" spans="11:37" x14ac:dyDescent="0.25">
      <c r="K98" s="1" t="str">
        <f t="array" ref="K98">IFERROR(CONCATENATE(TEXT(INDEX($K$7:$K$78,SMALL(IF($N$7:$N$78&lt;&gt;"",IF($K$7:$K$78&lt;&gt;"",ROW($K$7:$K$78)-MIN(ROW($K$7:$K$78))+1,""),""),ROW()-ROW(A$80)+1)),"##0"),","),"")</f>
        <v/>
      </c>
      <c r="L98" s="1" t="str">
        <f t="array" ref="L98">IFERROR(CONCATENATE((INDEX($N$7:$N$78,SMALL(IF($N$7:$N$78&lt;&gt;"",IF($K$7:$K$78&lt;&gt;"",ROW($K$7:$K$78)-MIN(ROW($K$7:$K$78))+1,""),""),ROW()-ROW(A$80)+1))),","),"")</f>
        <v/>
      </c>
      <c r="M98" s="1" t="str">
        <f t="array" ref="M98">IFERROR(CONCATENATE((INDEX($A$7:$A$78,SMALL(IF($N$7:$N$78&lt;&gt;"",IF($K$7:$K$78&lt;&gt;"",ROW($K$7:$K$78)-MIN(ROW($K$7:$K$78))+1,""),""),ROW()-ROW(A$80)+1))),),"")</f>
        <v/>
      </c>
      <c r="Q98" s="1" t="str">
        <f t="array" ref="Q98">IFERROR(CONCATENATE((INDEX($T$7:$T$78,SMALL(IF($T$7:$T$78&lt;&gt;"",IF($Q$7:$Q$78&lt;&gt;"",ROW($Q$7:$Q$78)-MIN(ROW($Q$7:$Q$78))+1,""),""),ROW()-ROW(A$80)+1)))," "),"")</f>
        <v/>
      </c>
      <c r="R98" s="1" t="str">
        <f t="array" ref="R98">IFERROR(CONCATENATE(TEXT(INDEX($Q$7:$Q$78,SMALL(IF($T$7:$T$78&lt;&gt;"",IF($Q$7:$Q$78&lt;&gt;"",ROW($Q$7:$Q$78)-MIN(ROW($Q$7:$Q$78))+1,""),""),ROW()-ROW(A$80)+1)),"##0")," "),"")</f>
        <v/>
      </c>
      <c r="S98" s="1" t="str">
        <f t="array" ref="S98">IFERROR(CONCATENATE((INDEX($A$7:$A$78,SMALL(IF($T$7:$T$78&lt;&gt;"",IF($Q$7:$Q$78&lt;&gt;"",ROW($Q$7:$Q$78)-MIN(ROW($Q$7:$Q$78))+1,""),""),ROW()-ROW(A$80)+1))),),"")</f>
        <v/>
      </c>
      <c r="W98" s="1" t="str">
        <f t="array" ref="W98">IFERROR(CONCATENATE((INDEX($Z$7:$Z$78,SMALL(IF($Z$7:$Z$78&lt;&gt;"",IF($W$7:$W$78&lt;&gt;"",ROW($W$7:$W$78)-MIN(ROW($W$7:$W$78))+1,""),""),ROW()-ROW(A$80)+1)))," "),"")</f>
        <v/>
      </c>
      <c r="X98" s="1" t="str">
        <f t="array" ref="X98">IFERROR(CONCATENATE(TEXT(INDEX($W$7:$W$78,SMALL(IF($Z$7:$Z$78&lt;&gt;"",IF($W$7:$W$78&lt;&gt;"",ROW($W$7:$W$78)-MIN(ROW($W$7:$W$78))+1,""),""),ROW()-ROW(A$80)+1)),"##0")," "),"")</f>
        <v/>
      </c>
      <c r="Y98" s="1" t="str">
        <f t="array" ref="Y98">IFERROR(CONCATENATE((INDEX($A$7:$A$78,SMALL(IF($Z$7:$Z$78&lt;&gt;"",IF($W$7:$W$78&lt;&gt;"",ROW($W$7:$W$78)-MIN(ROW($W$7:$W$78))+1,""),""),ROW()-ROW(A$80)+1))),),"")</f>
        <v/>
      </c>
      <c r="AC98" s="1" t="str">
        <f t="array" ref="AC98">IFERROR(CONCATENATE((INDEX($AF$7:$AF$78,SMALL(IF($AF$7:$AF$78&lt;&gt;"",IF($AC$7:$AC$78&lt;&gt;"",ROW($AC$7:$AC$78)-MIN(ROW($AC$7:$AC$78))+1,""),""),ROW()-ROW(A$80)+1))),","),"")</f>
        <v/>
      </c>
      <c r="AD98" s="1" t="str">
        <f t="array" ref="AD98">IFERROR(CONCATENATE(TEXT(INDEX($AC$7:$AC$78,SMALL(IF($AF$7:$AF$78&lt;&gt;"",IF($AC$7:$AC$78&lt;&gt;"",ROW($AC$7:$AC$78)-MIN(ROW($AC$7:$AC$78))+1,""),""),ROW()-ROW(A$80)+1)),"##0"),","),"")</f>
        <v/>
      </c>
      <c r="AE98" s="1" t="str">
        <f t="array" ref="AE98">IFERROR(CONCATENATE((INDEX($A$7:$A$78,SMALL(IF($AF$7:$AF$78&lt;&gt;"",IF($AC$7:$AC$78&lt;&gt;"",ROW($AC$7:$AC$78)-MIN(ROW($AC$7:$AC$78))+1,""),""),ROW()-ROW(A$80)+1))),),"")</f>
        <v/>
      </c>
      <c r="AI98" s="1" t="str">
        <f t="array" ref="AI98">IFERROR(CONCATENATE((INDEX($AL$7:$AL$78,SMALL(IF($AL$7:$AL$78&lt;&gt;"",IF($AI$7:$AI$78&lt;&gt;"",ROW($AI$7:$AI$78)-MIN(ROW($AI$7:$AI$78))+1,""),""),ROW()-ROW(A$80)+1)))," "),"")</f>
        <v/>
      </c>
      <c r="AJ98" s="1" t="str">
        <f t="array" ref="AJ98">IFERROR(CONCATENATE(TEXT(INDEX($AI$7:$AI$78,SMALL(IF($AL$7:$AL$78&lt;&gt;"",IF($AI$7:$AI$78&lt;&gt;"",ROW($AI$7:$AI$78)-MIN(ROW($AI$7:$AI$78))+1,""),""),ROW()-ROW(A$80)+1)),"##0")," "),"")</f>
        <v/>
      </c>
      <c r="AK98" s="1" t="str">
        <f t="array" ref="AK98">IFERROR(CONCATENATE((INDEX($A$7:$A$78,SMALL(IF($AL$7:$AL$78&lt;&gt;"",IF($AI$7:$AI$78&lt;&gt;"",ROW($AI$7:$AI$78)-MIN(ROW($AI$7:$AI$78))+1,""),""),ROW()-ROW(A$80)+1))),),"")</f>
        <v/>
      </c>
    </row>
    <row r="99" spans="11:37" x14ac:dyDescent="0.25">
      <c r="K99" s="1" t="str">
        <f t="array" ref="K99">IFERROR(CONCATENATE(TEXT(INDEX($K$7:$K$78,SMALL(IF($N$7:$N$78&lt;&gt;"",IF($K$7:$K$78&lt;&gt;"",ROW($K$7:$K$78)-MIN(ROW($K$7:$K$78))+1,""),""),ROW()-ROW(A$80)+1)),"##0"),","),"")</f>
        <v/>
      </c>
      <c r="L99" s="1" t="str">
        <f t="array" ref="L99">IFERROR(CONCATENATE((INDEX($N$7:$N$78,SMALL(IF($N$7:$N$78&lt;&gt;"",IF($K$7:$K$78&lt;&gt;"",ROW($K$7:$K$78)-MIN(ROW($K$7:$K$78))+1,""),""),ROW()-ROW(A$80)+1))),","),"")</f>
        <v/>
      </c>
      <c r="M99" s="1" t="str">
        <f t="array" ref="M99">IFERROR(CONCATENATE((INDEX($A$7:$A$78,SMALL(IF($N$7:$N$78&lt;&gt;"",IF($K$7:$K$78&lt;&gt;"",ROW($K$7:$K$78)-MIN(ROW($K$7:$K$78))+1,""),""),ROW()-ROW(A$80)+1))),),"")</f>
        <v/>
      </c>
      <c r="Q99" s="1" t="str">
        <f t="array" ref="Q99">IFERROR(CONCATENATE((INDEX($T$7:$T$78,SMALL(IF($T$7:$T$78&lt;&gt;"",IF($Q$7:$Q$78&lt;&gt;"",ROW($Q$7:$Q$78)-MIN(ROW($Q$7:$Q$78))+1,""),""),ROW()-ROW(A$80)+1)))," "),"")</f>
        <v/>
      </c>
      <c r="R99" s="1" t="str">
        <f t="array" ref="R99">IFERROR(CONCATENATE(TEXT(INDEX($Q$7:$Q$78,SMALL(IF($T$7:$T$78&lt;&gt;"",IF($Q$7:$Q$78&lt;&gt;"",ROW($Q$7:$Q$78)-MIN(ROW($Q$7:$Q$78))+1,""),""),ROW()-ROW(A$80)+1)),"##0")," "),"")</f>
        <v/>
      </c>
      <c r="S99" s="1" t="str">
        <f t="array" ref="S99">IFERROR(CONCATENATE((INDEX($A$7:$A$78,SMALL(IF($T$7:$T$78&lt;&gt;"",IF($Q$7:$Q$78&lt;&gt;"",ROW($Q$7:$Q$78)-MIN(ROW($Q$7:$Q$78))+1,""),""),ROW()-ROW(A$80)+1))),),"")</f>
        <v/>
      </c>
      <c r="W99" s="1" t="str">
        <f t="array" ref="W99">IFERROR(CONCATENATE((INDEX($Z$7:$Z$78,SMALL(IF($Z$7:$Z$78&lt;&gt;"",IF($W$7:$W$78&lt;&gt;"",ROW($W$7:$W$78)-MIN(ROW($W$7:$W$78))+1,""),""),ROW()-ROW(A$80)+1)))," "),"")</f>
        <v/>
      </c>
      <c r="X99" s="1" t="str">
        <f t="array" ref="X99">IFERROR(CONCATENATE(TEXT(INDEX($W$7:$W$78,SMALL(IF($Z$7:$Z$78&lt;&gt;"",IF($W$7:$W$78&lt;&gt;"",ROW($W$7:$W$78)-MIN(ROW($W$7:$W$78))+1,""),""),ROW()-ROW(A$80)+1)),"##0")," "),"")</f>
        <v/>
      </c>
      <c r="Y99" s="1" t="str">
        <f t="array" ref="Y99">IFERROR(CONCATENATE((INDEX($A$7:$A$78,SMALL(IF($Z$7:$Z$78&lt;&gt;"",IF($W$7:$W$78&lt;&gt;"",ROW($W$7:$W$78)-MIN(ROW($W$7:$W$78))+1,""),""),ROW()-ROW(A$80)+1))),),"")</f>
        <v/>
      </c>
      <c r="AC99" s="1" t="str">
        <f t="array" ref="AC99">IFERROR(CONCATENATE((INDEX($AF$7:$AF$78,SMALL(IF($AF$7:$AF$78&lt;&gt;"",IF($AC$7:$AC$78&lt;&gt;"",ROW($AC$7:$AC$78)-MIN(ROW($AC$7:$AC$78))+1,""),""),ROW()-ROW(A$80)+1))),","),"")</f>
        <v/>
      </c>
      <c r="AD99" s="1" t="str">
        <f t="array" ref="AD99">IFERROR(CONCATENATE(TEXT(INDEX($AC$7:$AC$78,SMALL(IF($AF$7:$AF$78&lt;&gt;"",IF($AC$7:$AC$78&lt;&gt;"",ROW($AC$7:$AC$78)-MIN(ROW($AC$7:$AC$78))+1,""),""),ROW()-ROW(A$80)+1)),"##0"),","),"")</f>
        <v/>
      </c>
      <c r="AE99" s="1" t="str">
        <f t="array" ref="AE99">IFERROR(CONCATENATE((INDEX($A$7:$A$78,SMALL(IF($AF$7:$AF$78&lt;&gt;"",IF($AC$7:$AC$78&lt;&gt;"",ROW($AC$7:$AC$78)-MIN(ROW($AC$7:$AC$78))+1,""),""),ROW()-ROW(A$80)+1))),),"")</f>
        <v/>
      </c>
      <c r="AI99" s="1" t="str">
        <f t="array" ref="AI99">IFERROR(CONCATENATE((INDEX($AL$7:$AL$78,SMALL(IF($AL$7:$AL$78&lt;&gt;"",IF($AI$7:$AI$78&lt;&gt;"",ROW($AI$7:$AI$78)-MIN(ROW($AI$7:$AI$78))+1,""),""),ROW()-ROW(A$80)+1)))," "),"")</f>
        <v/>
      </c>
      <c r="AJ99" s="1" t="str">
        <f t="array" ref="AJ99">IFERROR(CONCATENATE(TEXT(INDEX($AI$7:$AI$78,SMALL(IF($AL$7:$AL$78&lt;&gt;"",IF($AI$7:$AI$78&lt;&gt;"",ROW($AI$7:$AI$78)-MIN(ROW($AI$7:$AI$78))+1,""),""),ROW()-ROW(A$80)+1)),"##0")," "),"")</f>
        <v/>
      </c>
      <c r="AK99" s="1" t="str">
        <f t="array" ref="AK99">IFERROR(CONCATENATE((INDEX($A$7:$A$78,SMALL(IF($AL$7:$AL$78&lt;&gt;"",IF($AI$7:$AI$78&lt;&gt;"",ROW($AI$7:$AI$78)-MIN(ROW($AI$7:$AI$78))+1,""),""),ROW()-ROW(A$80)+1))),),"")</f>
        <v/>
      </c>
    </row>
    <row r="100" spans="11:37" x14ac:dyDescent="0.25">
      <c r="K100" s="1" t="str">
        <f t="array" ref="K100">IFERROR(CONCATENATE(TEXT(INDEX($K$7:$K$78,SMALL(IF($N$7:$N$78&lt;&gt;"",IF($K$7:$K$78&lt;&gt;"",ROW($K$7:$K$78)-MIN(ROW($K$7:$K$78))+1,""),""),ROW()-ROW(A$80)+1)),"##0"),","),"")</f>
        <v/>
      </c>
      <c r="L100" s="1" t="str">
        <f t="array" ref="L100">IFERROR(CONCATENATE((INDEX($N$7:$N$78,SMALL(IF($N$7:$N$78&lt;&gt;"",IF($K$7:$K$78&lt;&gt;"",ROW($K$7:$K$78)-MIN(ROW($K$7:$K$78))+1,""),""),ROW()-ROW(A$80)+1))),","),"")</f>
        <v/>
      </c>
      <c r="M100" s="1" t="str">
        <f t="array" ref="M100">IFERROR(CONCATENATE((INDEX($A$7:$A$78,SMALL(IF($N$7:$N$78&lt;&gt;"",IF($K$7:$K$78&lt;&gt;"",ROW($K$7:$K$78)-MIN(ROW($K$7:$K$78))+1,""),""),ROW()-ROW(A$80)+1))),),"")</f>
        <v/>
      </c>
      <c r="Q100" s="1" t="str">
        <f t="array" ref="Q100">IFERROR(CONCATENATE((INDEX($T$7:$T$78,SMALL(IF($T$7:$T$78&lt;&gt;"",IF($Q$7:$Q$78&lt;&gt;"",ROW($Q$7:$Q$78)-MIN(ROW($Q$7:$Q$78))+1,""),""),ROW()-ROW(A$80)+1)))," "),"")</f>
        <v/>
      </c>
      <c r="R100" s="1" t="str">
        <f t="array" ref="R100">IFERROR(CONCATENATE(TEXT(INDEX($Q$7:$Q$78,SMALL(IF($T$7:$T$78&lt;&gt;"",IF($Q$7:$Q$78&lt;&gt;"",ROW($Q$7:$Q$78)-MIN(ROW($Q$7:$Q$78))+1,""),""),ROW()-ROW(A$80)+1)),"##0")," "),"")</f>
        <v/>
      </c>
      <c r="S100" s="1" t="str">
        <f t="array" ref="S100">IFERROR(CONCATENATE((INDEX($A$7:$A$78,SMALL(IF($T$7:$T$78&lt;&gt;"",IF($Q$7:$Q$78&lt;&gt;"",ROW($Q$7:$Q$78)-MIN(ROW($Q$7:$Q$78))+1,""),""),ROW()-ROW(A$80)+1))),),"")</f>
        <v/>
      </c>
      <c r="W100" s="1" t="str">
        <f t="array" ref="W100">IFERROR(CONCATENATE((INDEX($Z$7:$Z$78,SMALL(IF($Z$7:$Z$78&lt;&gt;"",IF($W$7:$W$78&lt;&gt;"",ROW($W$7:$W$78)-MIN(ROW($W$7:$W$78))+1,""),""),ROW()-ROW(A$80)+1)))," "),"")</f>
        <v/>
      </c>
      <c r="X100" s="1" t="str">
        <f t="array" ref="X100">IFERROR(CONCATENATE(TEXT(INDEX($W$7:$W$78,SMALL(IF($Z$7:$Z$78&lt;&gt;"",IF($W$7:$W$78&lt;&gt;"",ROW($W$7:$W$78)-MIN(ROW($W$7:$W$78))+1,""),""),ROW()-ROW(A$80)+1)),"##0")," "),"")</f>
        <v/>
      </c>
      <c r="Y100" s="1" t="str">
        <f t="array" ref="Y100">IFERROR(CONCATENATE((INDEX($A$7:$A$78,SMALL(IF($Z$7:$Z$78&lt;&gt;"",IF($W$7:$W$78&lt;&gt;"",ROW($W$7:$W$78)-MIN(ROW($W$7:$W$78))+1,""),""),ROW()-ROW(A$80)+1))),),"")</f>
        <v/>
      </c>
      <c r="AC100" s="1" t="str">
        <f t="array" ref="AC100">IFERROR(CONCATENATE((INDEX($AF$7:$AF$78,SMALL(IF($AF$7:$AF$78&lt;&gt;"",IF($AC$7:$AC$78&lt;&gt;"",ROW($AC$7:$AC$78)-MIN(ROW($AC$7:$AC$78))+1,""),""),ROW()-ROW(A$80)+1))),","),"")</f>
        <v/>
      </c>
      <c r="AD100" s="1" t="str">
        <f t="array" ref="AD100">IFERROR(CONCATENATE(TEXT(INDEX($AC$7:$AC$78,SMALL(IF($AF$7:$AF$78&lt;&gt;"",IF($AC$7:$AC$78&lt;&gt;"",ROW($AC$7:$AC$78)-MIN(ROW($AC$7:$AC$78))+1,""),""),ROW()-ROW(A$80)+1)),"##0"),","),"")</f>
        <v/>
      </c>
      <c r="AE100" s="1" t="str">
        <f t="array" ref="AE100">IFERROR(CONCATENATE((INDEX($A$7:$A$78,SMALL(IF($AF$7:$AF$78&lt;&gt;"",IF($AC$7:$AC$78&lt;&gt;"",ROW($AC$7:$AC$78)-MIN(ROW($AC$7:$AC$78))+1,""),""),ROW()-ROW(A$80)+1))),),"")</f>
        <v/>
      </c>
      <c r="AI100" s="1" t="str">
        <f t="array" ref="AI100">IFERROR(CONCATENATE((INDEX($AL$7:$AL$78,SMALL(IF($AL$7:$AL$78&lt;&gt;"",IF($AI$7:$AI$78&lt;&gt;"",ROW($AI$7:$AI$78)-MIN(ROW($AI$7:$AI$78))+1,""),""),ROW()-ROW(A$80)+1)))," "),"")</f>
        <v/>
      </c>
      <c r="AJ100" s="1" t="str">
        <f t="array" ref="AJ100">IFERROR(CONCATENATE(TEXT(INDEX($AI$7:$AI$78,SMALL(IF($AL$7:$AL$78&lt;&gt;"",IF($AI$7:$AI$78&lt;&gt;"",ROW($AI$7:$AI$78)-MIN(ROW($AI$7:$AI$78))+1,""),""),ROW()-ROW(A$80)+1)),"##0")," "),"")</f>
        <v/>
      </c>
      <c r="AK100" s="1" t="str">
        <f t="array" ref="AK100">IFERROR(CONCATENATE((INDEX($A$7:$A$78,SMALL(IF($AL$7:$AL$78&lt;&gt;"",IF($AI$7:$AI$78&lt;&gt;"",ROW($AI$7:$AI$78)-MIN(ROW($AI$7:$AI$78))+1,""),""),ROW()-ROW(A$80)+1))),),"")</f>
        <v/>
      </c>
    </row>
    <row r="101" spans="11:37" x14ac:dyDescent="0.25">
      <c r="K101" s="1" t="str">
        <f t="array" ref="K101">IFERROR(CONCATENATE(TEXT(INDEX($K$7:$K$78,SMALL(IF($N$7:$N$78&lt;&gt;"",IF($K$7:$K$78&lt;&gt;"",ROW($K$7:$K$78)-MIN(ROW($K$7:$K$78))+1,""),""),ROW()-ROW(A$80)+1)),"##0"),","),"")</f>
        <v/>
      </c>
      <c r="L101" s="1" t="str">
        <f t="array" ref="L101">IFERROR(CONCATENATE((INDEX($N$7:$N$78,SMALL(IF($N$7:$N$78&lt;&gt;"",IF($K$7:$K$78&lt;&gt;"",ROW($K$7:$K$78)-MIN(ROW($K$7:$K$78))+1,""),""),ROW()-ROW(A$80)+1))),","),"")</f>
        <v/>
      </c>
      <c r="M101" s="1" t="str">
        <f t="array" ref="M101">IFERROR(CONCATENATE((INDEX($A$7:$A$78,SMALL(IF($N$7:$N$78&lt;&gt;"",IF($K$7:$K$78&lt;&gt;"",ROW($K$7:$K$78)-MIN(ROW($K$7:$K$78))+1,""),""),ROW()-ROW(A$80)+1))),),"")</f>
        <v/>
      </c>
      <c r="Q101" s="1" t="str">
        <f t="array" ref="Q101">IFERROR(CONCATENATE((INDEX($T$7:$T$78,SMALL(IF($T$7:$T$78&lt;&gt;"",IF($Q$7:$Q$78&lt;&gt;"",ROW($Q$7:$Q$78)-MIN(ROW($Q$7:$Q$78))+1,""),""),ROW()-ROW(A$80)+1)))," "),"")</f>
        <v/>
      </c>
      <c r="R101" s="1" t="str">
        <f t="array" ref="R101">IFERROR(CONCATENATE(TEXT(INDEX($Q$7:$Q$78,SMALL(IF($T$7:$T$78&lt;&gt;"",IF($Q$7:$Q$78&lt;&gt;"",ROW($Q$7:$Q$78)-MIN(ROW($Q$7:$Q$78))+1,""),""),ROW()-ROW(A$80)+1)),"##0")," "),"")</f>
        <v/>
      </c>
      <c r="S101" s="1" t="str">
        <f t="array" ref="S101">IFERROR(CONCATENATE((INDEX($A$7:$A$78,SMALL(IF($T$7:$T$78&lt;&gt;"",IF($Q$7:$Q$78&lt;&gt;"",ROW($Q$7:$Q$78)-MIN(ROW($Q$7:$Q$78))+1,""),""),ROW()-ROW(A$80)+1))),),"")</f>
        <v/>
      </c>
      <c r="W101" s="1" t="str">
        <f t="array" ref="W101">IFERROR(CONCATENATE((INDEX($Z$7:$Z$78,SMALL(IF($Z$7:$Z$78&lt;&gt;"",IF($W$7:$W$78&lt;&gt;"",ROW($W$7:$W$78)-MIN(ROW($W$7:$W$78))+1,""),""),ROW()-ROW(A$80)+1)))," "),"")</f>
        <v/>
      </c>
      <c r="X101" s="1" t="str">
        <f t="array" ref="X101">IFERROR(CONCATENATE(TEXT(INDEX($W$7:$W$78,SMALL(IF($Z$7:$Z$78&lt;&gt;"",IF($W$7:$W$78&lt;&gt;"",ROW($W$7:$W$78)-MIN(ROW($W$7:$W$78))+1,""),""),ROW()-ROW(A$80)+1)),"##0")," "),"")</f>
        <v/>
      </c>
      <c r="Y101" s="1" t="str">
        <f t="array" ref="Y101">IFERROR(CONCATENATE((INDEX($A$7:$A$78,SMALL(IF($Z$7:$Z$78&lt;&gt;"",IF($W$7:$W$78&lt;&gt;"",ROW($W$7:$W$78)-MIN(ROW($W$7:$W$78))+1,""),""),ROW()-ROW(A$80)+1))),),"")</f>
        <v/>
      </c>
      <c r="AC101" s="1" t="str">
        <f t="array" ref="AC101">IFERROR(CONCATENATE((INDEX($AF$7:$AF$78,SMALL(IF($AF$7:$AF$78&lt;&gt;"",IF($AC$7:$AC$78&lt;&gt;"",ROW($AC$7:$AC$78)-MIN(ROW($AC$7:$AC$78))+1,""),""),ROW()-ROW(A$80)+1))),","),"")</f>
        <v/>
      </c>
      <c r="AD101" s="1" t="str">
        <f t="array" ref="AD101">IFERROR(CONCATENATE(TEXT(INDEX($AC$7:$AC$78,SMALL(IF($AF$7:$AF$78&lt;&gt;"",IF($AC$7:$AC$78&lt;&gt;"",ROW($AC$7:$AC$78)-MIN(ROW($AC$7:$AC$78))+1,""),""),ROW()-ROW(A$80)+1)),"##0"),","),"")</f>
        <v/>
      </c>
      <c r="AE101" s="1" t="str">
        <f t="array" ref="AE101">IFERROR(CONCATENATE((INDEX($A$7:$A$78,SMALL(IF($AF$7:$AF$78&lt;&gt;"",IF($AC$7:$AC$78&lt;&gt;"",ROW($AC$7:$AC$78)-MIN(ROW($AC$7:$AC$78))+1,""),""),ROW()-ROW(A$80)+1))),),"")</f>
        <v/>
      </c>
      <c r="AI101" s="1" t="str">
        <f t="array" ref="AI101">IFERROR(CONCATENATE((INDEX($AL$7:$AL$78,SMALL(IF($AL$7:$AL$78&lt;&gt;"",IF($AI$7:$AI$78&lt;&gt;"",ROW($AI$7:$AI$78)-MIN(ROW($AI$7:$AI$78))+1,""),""),ROW()-ROW(A$80)+1)))," "),"")</f>
        <v/>
      </c>
      <c r="AJ101" s="1" t="str">
        <f t="array" ref="AJ101">IFERROR(CONCATENATE(TEXT(INDEX($AI$7:$AI$78,SMALL(IF($AL$7:$AL$78&lt;&gt;"",IF($AI$7:$AI$78&lt;&gt;"",ROW($AI$7:$AI$78)-MIN(ROW($AI$7:$AI$78))+1,""),""),ROW()-ROW(A$80)+1)),"##0")," "),"")</f>
        <v/>
      </c>
      <c r="AK101" s="1" t="str">
        <f t="array" ref="AK101">IFERROR(CONCATENATE((INDEX($A$7:$A$78,SMALL(IF($AL$7:$AL$78&lt;&gt;"",IF($AI$7:$AI$78&lt;&gt;"",ROW($AI$7:$AI$78)-MIN(ROW($AI$7:$AI$78))+1,""),""),ROW()-ROW(A$80)+1))),),"")</f>
        <v/>
      </c>
    </row>
    <row r="102" spans="11:37" x14ac:dyDescent="0.25">
      <c r="K102" s="1" t="str">
        <f t="array" ref="K102">IFERROR(CONCATENATE(TEXT(INDEX($K$7:$K$78,SMALL(IF($N$7:$N$78&lt;&gt;"",IF($K$7:$K$78&lt;&gt;"",ROW($K$7:$K$78)-MIN(ROW($K$7:$K$78))+1,""),""),ROW()-ROW(A$80)+1)),"##0"),","),"")</f>
        <v/>
      </c>
      <c r="L102" s="1" t="str">
        <f t="array" ref="L102">IFERROR(CONCATENATE((INDEX($N$7:$N$78,SMALL(IF($N$7:$N$78&lt;&gt;"",IF($K$7:$K$78&lt;&gt;"",ROW($K$7:$K$78)-MIN(ROW($K$7:$K$78))+1,""),""),ROW()-ROW(A$80)+1))),","),"")</f>
        <v/>
      </c>
      <c r="M102" s="1" t="str">
        <f t="array" ref="M102">IFERROR(CONCATENATE((INDEX($A$7:$A$78,SMALL(IF($N$7:$N$78&lt;&gt;"",IF($K$7:$K$78&lt;&gt;"",ROW($K$7:$K$78)-MIN(ROW($K$7:$K$78))+1,""),""),ROW()-ROW(A$80)+1))),),"")</f>
        <v/>
      </c>
      <c r="Q102" s="1" t="str">
        <f t="array" ref="Q102">IFERROR(CONCATENATE((INDEX($T$7:$T$78,SMALL(IF($T$7:$T$78&lt;&gt;"",IF($Q$7:$Q$78&lt;&gt;"",ROW($Q$7:$Q$78)-MIN(ROW($Q$7:$Q$78))+1,""),""),ROW()-ROW(A$80)+1)))," "),"")</f>
        <v/>
      </c>
      <c r="R102" s="1" t="str">
        <f t="array" ref="R102">IFERROR(CONCATENATE(TEXT(INDEX($Q$7:$Q$78,SMALL(IF($T$7:$T$78&lt;&gt;"",IF($Q$7:$Q$78&lt;&gt;"",ROW($Q$7:$Q$78)-MIN(ROW($Q$7:$Q$78))+1,""),""),ROW()-ROW(A$80)+1)),"##0")," "),"")</f>
        <v/>
      </c>
      <c r="S102" s="1" t="str">
        <f t="array" ref="S102">IFERROR(CONCATENATE((INDEX($A$7:$A$78,SMALL(IF($T$7:$T$78&lt;&gt;"",IF($Q$7:$Q$78&lt;&gt;"",ROW($Q$7:$Q$78)-MIN(ROW($Q$7:$Q$78))+1,""),""),ROW()-ROW(A$80)+1))),),"")</f>
        <v/>
      </c>
      <c r="W102" s="1" t="str">
        <f t="array" ref="W102">IFERROR(CONCATENATE((INDEX($Z$7:$Z$78,SMALL(IF($Z$7:$Z$78&lt;&gt;"",IF($W$7:$W$78&lt;&gt;"",ROW($W$7:$W$78)-MIN(ROW($W$7:$W$78))+1,""),""),ROW()-ROW(A$80)+1)))," "),"")</f>
        <v/>
      </c>
      <c r="X102" s="1" t="str">
        <f t="array" ref="X102">IFERROR(CONCATENATE(TEXT(INDEX($W$7:$W$78,SMALL(IF($Z$7:$Z$78&lt;&gt;"",IF($W$7:$W$78&lt;&gt;"",ROW($W$7:$W$78)-MIN(ROW($W$7:$W$78))+1,""),""),ROW()-ROW(A$80)+1)),"##0")," "),"")</f>
        <v/>
      </c>
      <c r="Y102" s="1" t="str">
        <f t="array" ref="Y102">IFERROR(CONCATENATE((INDEX($A$7:$A$78,SMALL(IF($Z$7:$Z$78&lt;&gt;"",IF($W$7:$W$78&lt;&gt;"",ROW($W$7:$W$78)-MIN(ROW($W$7:$W$78))+1,""),""),ROW()-ROW(A$80)+1))),),"")</f>
        <v/>
      </c>
      <c r="AC102" s="1" t="str">
        <f t="array" ref="AC102">IFERROR(CONCATENATE((INDEX($AF$7:$AF$78,SMALL(IF($AF$7:$AF$78&lt;&gt;"",IF($AC$7:$AC$78&lt;&gt;"",ROW($AC$7:$AC$78)-MIN(ROW($AC$7:$AC$78))+1,""),""),ROW()-ROW(A$80)+1))),","),"")</f>
        <v/>
      </c>
      <c r="AD102" s="1" t="str">
        <f t="array" ref="AD102">IFERROR(CONCATENATE(TEXT(INDEX($AC$7:$AC$78,SMALL(IF($AF$7:$AF$78&lt;&gt;"",IF($AC$7:$AC$78&lt;&gt;"",ROW($AC$7:$AC$78)-MIN(ROW($AC$7:$AC$78))+1,""),""),ROW()-ROW(A$80)+1)),"##0"),","),"")</f>
        <v/>
      </c>
      <c r="AE102" s="1" t="str">
        <f t="array" ref="AE102">IFERROR(CONCATENATE((INDEX($A$7:$A$78,SMALL(IF($AF$7:$AF$78&lt;&gt;"",IF($AC$7:$AC$78&lt;&gt;"",ROW($AC$7:$AC$78)-MIN(ROW($AC$7:$AC$78))+1,""),""),ROW()-ROW(A$80)+1))),),"")</f>
        <v/>
      </c>
      <c r="AI102" s="1" t="str">
        <f t="array" ref="AI102">IFERROR(CONCATENATE((INDEX($AL$7:$AL$78,SMALL(IF($AL$7:$AL$78&lt;&gt;"",IF($AI$7:$AI$78&lt;&gt;"",ROW($AI$7:$AI$78)-MIN(ROW($AI$7:$AI$78))+1,""),""),ROW()-ROW(A$80)+1)))," "),"")</f>
        <v/>
      </c>
      <c r="AJ102" s="1" t="str">
        <f t="array" ref="AJ102">IFERROR(CONCATENATE(TEXT(INDEX($AI$7:$AI$78,SMALL(IF($AL$7:$AL$78&lt;&gt;"",IF($AI$7:$AI$78&lt;&gt;"",ROW($AI$7:$AI$78)-MIN(ROW($AI$7:$AI$78))+1,""),""),ROW()-ROW(A$80)+1)),"##0")," "),"")</f>
        <v/>
      </c>
      <c r="AK102" s="1" t="str">
        <f t="array" ref="AK102">IFERROR(CONCATENATE((INDEX($A$7:$A$78,SMALL(IF($AL$7:$AL$78&lt;&gt;"",IF($AI$7:$AI$78&lt;&gt;"",ROW($AI$7:$AI$78)-MIN(ROW($AI$7:$AI$78))+1,""),""),ROW()-ROW(A$80)+1))),),"")</f>
        <v/>
      </c>
    </row>
    <row r="103" spans="11:37" x14ac:dyDescent="0.25">
      <c r="K103" s="1" t="str">
        <f t="array" ref="K103">IFERROR(CONCATENATE(TEXT(INDEX($K$7:$K$78,SMALL(IF($N$7:$N$78&lt;&gt;"",IF($K$7:$K$78&lt;&gt;"",ROW($K$7:$K$78)-MIN(ROW($K$7:$K$78))+1,""),""),ROW()-ROW(A$80)+1)),"##0"),","),"")</f>
        <v/>
      </c>
      <c r="L103" s="1" t="str">
        <f t="array" ref="L103">IFERROR(CONCATENATE((INDEX($N$7:$N$78,SMALL(IF($N$7:$N$78&lt;&gt;"",IF($K$7:$K$78&lt;&gt;"",ROW($K$7:$K$78)-MIN(ROW($K$7:$K$78))+1,""),""),ROW()-ROW(A$80)+1))),","),"")</f>
        <v/>
      </c>
      <c r="M103" s="1" t="str">
        <f t="array" ref="M103">IFERROR(CONCATENATE((INDEX($A$7:$A$78,SMALL(IF($N$7:$N$78&lt;&gt;"",IF($K$7:$K$78&lt;&gt;"",ROW($K$7:$K$78)-MIN(ROW($K$7:$K$78))+1,""),""),ROW()-ROW(A$80)+1))),),"")</f>
        <v/>
      </c>
      <c r="Q103" s="1" t="str">
        <f t="array" ref="Q103">IFERROR(CONCATENATE((INDEX($T$7:$T$78,SMALL(IF($T$7:$T$78&lt;&gt;"",IF($Q$7:$Q$78&lt;&gt;"",ROW($Q$7:$Q$78)-MIN(ROW($Q$7:$Q$78))+1,""),""),ROW()-ROW(A$80)+1)))," "),"")</f>
        <v/>
      </c>
      <c r="R103" s="1" t="str">
        <f t="array" ref="R103">IFERROR(CONCATENATE(TEXT(INDEX($Q$7:$Q$78,SMALL(IF($T$7:$T$78&lt;&gt;"",IF($Q$7:$Q$78&lt;&gt;"",ROW($Q$7:$Q$78)-MIN(ROW($Q$7:$Q$78))+1,""),""),ROW()-ROW(A$80)+1)),"##0")," "),"")</f>
        <v/>
      </c>
      <c r="S103" s="1" t="str">
        <f t="array" ref="S103">IFERROR(CONCATENATE((INDEX($A$7:$A$78,SMALL(IF($T$7:$T$78&lt;&gt;"",IF($Q$7:$Q$78&lt;&gt;"",ROW($Q$7:$Q$78)-MIN(ROW($Q$7:$Q$78))+1,""),""),ROW()-ROW(A$80)+1))),),"")</f>
        <v/>
      </c>
      <c r="W103" s="1" t="str">
        <f t="array" ref="W103">IFERROR(CONCATENATE((INDEX($Z$7:$Z$78,SMALL(IF($Z$7:$Z$78&lt;&gt;"",IF($W$7:$W$78&lt;&gt;"",ROW($W$7:$W$78)-MIN(ROW($W$7:$W$78))+1,""),""),ROW()-ROW(A$80)+1)))," "),"")</f>
        <v/>
      </c>
      <c r="X103" s="1" t="str">
        <f t="array" ref="X103">IFERROR(CONCATENATE(TEXT(INDEX($W$7:$W$78,SMALL(IF($Z$7:$Z$78&lt;&gt;"",IF($W$7:$W$78&lt;&gt;"",ROW($W$7:$W$78)-MIN(ROW($W$7:$W$78))+1,""),""),ROW()-ROW(A$80)+1)),"##0")," "),"")</f>
        <v/>
      </c>
      <c r="Y103" s="1" t="str">
        <f t="array" ref="Y103">IFERROR(CONCATENATE((INDEX($A$7:$A$78,SMALL(IF($Z$7:$Z$78&lt;&gt;"",IF($W$7:$W$78&lt;&gt;"",ROW($W$7:$W$78)-MIN(ROW($W$7:$W$78))+1,""),""),ROW()-ROW(A$80)+1))),),"")</f>
        <v/>
      </c>
      <c r="AC103" s="1" t="str">
        <f t="array" ref="AC103">IFERROR(CONCATENATE((INDEX($AF$7:$AF$78,SMALL(IF($AF$7:$AF$78&lt;&gt;"",IF($AC$7:$AC$78&lt;&gt;"",ROW($AC$7:$AC$78)-MIN(ROW($AC$7:$AC$78))+1,""),""),ROW()-ROW(A$80)+1))),","),"")</f>
        <v/>
      </c>
      <c r="AD103" s="1" t="str">
        <f t="array" ref="AD103">IFERROR(CONCATENATE(TEXT(INDEX($AC$7:$AC$78,SMALL(IF($AF$7:$AF$78&lt;&gt;"",IF($AC$7:$AC$78&lt;&gt;"",ROW($AC$7:$AC$78)-MIN(ROW($AC$7:$AC$78))+1,""),""),ROW()-ROW(A$80)+1)),"##0"),","),"")</f>
        <v/>
      </c>
      <c r="AE103" s="1" t="str">
        <f t="array" ref="AE103">IFERROR(CONCATENATE((INDEX($A$7:$A$78,SMALL(IF($AF$7:$AF$78&lt;&gt;"",IF($AC$7:$AC$78&lt;&gt;"",ROW($AC$7:$AC$78)-MIN(ROW($AC$7:$AC$78))+1,""),""),ROW()-ROW(A$80)+1))),),"")</f>
        <v/>
      </c>
      <c r="AI103" s="1" t="str">
        <f t="array" ref="AI103">IFERROR(CONCATENATE((INDEX($AL$7:$AL$78,SMALL(IF($AL$7:$AL$78&lt;&gt;"",IF($AI$7:$AI$78&lt;&gt;"",ROW($AI$7:$AI$78)-MIN(ROW($AI$7:$AI$78))+1,""),""),ROW()-ROW(A$80)+1)))," "),"")</f>
        <v/>
      </c>
      <c r="AJ103" s="1" t="str">
        <f t="array" ref="AJ103">IFERROR(CONCATENATE(TEXT(INDEX($AI$7:$AI$78,SMALL(IF($AL$7:$AL$78&lt;&gt;"",IF($AI$7:$AI$78&lt;&gt;"",ROW($AI$7:$AI$78)-MIN(ROW($AI$7:$AI$78))+1,""),""),ROW()-ROW(A$80)+1)),"##0")," "),"")</f>
        <v/>
      </c>
      <c r="AK103" s="1" t="str">
        <f t="array" ref="AK103">IFERROR(CONCATENATE((INDEX($A$7:$A$78,SMALL(IF($AL$7:$AL$78&lt;&gt;"",IF($AI$7:$AI$78&lt;&gt;"",ROW($AI$7:$AI$78)-MIN(ROW($AI$7:$AI$78))+1,""),""),ROW()-ROW(A$80)+1))),),"")</f>
        <v/>
      </c>
    </row>
    <row r="104" spans="11:37" x14ac:dyDescent="0.25">
      <c r="K104" s="1" t="str">
        <f t="array" ref="K104">IFERROR(CONCATENATE(TEXT(INDEX($K$7:$K$78,SMALL(IF($N$7:$N$78&lt;&gt;"",IF($K$7:$K$78&lt;&gt;"",ROW($K$7:$K$78)-MIN(ROW($K$7:$K$78))+1,""),""),ROW()-ROW(A$80)+1)),"##0"),","),"")</f>
        <v/>
      </c>
      <c r="L104" s="1" t="str">
        <f t="array" ref="L104">IFERROR(CONCATENATE((INDEX($N$7:$N$78,SMALL(IF($N$7:$N$78&lt;&gt;"",IF($K$7:$K$78&lt;&gt;"",ROW($K$7:$K$78)-MIN(ROW($K$7:$K$78))+1,""),""),ROW()-ROW(A$80)+1))),","),"")</f>
        <v/>
      </c>
      <c r="M104" s="1" t="str">
        <f t="array" ref="M104">IFERROR(CONCATENATE((INDEX($A$7:$A$78,SMALL(IF($N$7:$N$78&lt;&gt;"",IF($K$7:$K$78&lt;&gt;"",ROW($K$7:$K$78)-MIN(ROW($K$7:$K$78))+1,""),""),ROW()-ROW(A$80)+1))),),"")</f>
        <v/>
      </c>
      <c r="Q104" s="1" t="str">
        <f t="array" ref="Q104">IFERROR(CONCATENATE((INDEX($T$7:$T$78,SMALL(IF($T$7:$T$78&lt;&gt;"",IF($Q$7:$Q$78&lt;&gt;"",ROW($Q$7:$Q$78)-MIN(ROW($Q$7:$Q$78))+1,""),""),ROW()-ROW(A$80)+1)))," "),"")</f>
        <v/>
      </c>
      <c r="R104" s="1" t="str">
        <f t="array" ref="R104">IFERROR(CONCATENATE(TEXT(INDEX($Q$7:$Q$78,SMALL(IF($T$7:$T$78&lt;&gt;"",IF($Q$7:$Q$78&lt;&gt;"",ROW($Q$7:$Q$78)-MIN(ROW($Q$7:$Q$78))+1,""),""),ROW()-ROW(A$80)+1)),"##0")," "),"")</f>
        <v/>
      </c>
      <c r="S104" s="1" t="str">
        <f t="array" ref="S104">IFERROR(CONCATENATE((INDEX($A$7:$A$78,SMALL(IF($T$7:$T$78&lt;&gt;"",IF($Q$7:$Q$78&lt;&gt;"",ROW($Q$7:$Q$78)-MIN(ROW($Q$7:$Q$78))+1,""),""),ROW()-ROW(A$80)+1))),),"")</f>
        <v/>
      </c>
      <c r="W104" s="1" t="str">
        <f t="array" ref="W104">IFERROR(CONCATENATE((INDEX($Z$7:$Z$78,SMALL(IF($Z$7:$Z$78&lt;&gt;"",IF($W$7:$W$78&lt;&gt;"",ROW($W$7:$W$78)-MIN(ROW($W$7:$W$78))+1,""),""),ROW()-ROW(A$80)+1)))," "),"")</f>
        <v/>
      </c>
      <c r="X104" s="1" t="str">
        <f t="array" ref="X104">IFERROR(CONCATENATE(TEXT(INDEX($W$7:$W$78,SMALL(IF($Z$7:$Z$78&lt;&gt;"",IF($W$7:$W$78&lt;&gt;"",ROW($W$7:$W$78)-MIN(ROW($W$7:$W$78))+1,""),""),ROW()-ROW(A$80)+1)),"##0")," "),"")</f>
        <v/>
      </c>
      <c r="Y104" s="1" t="str">
        <f t="array" ref="Y104">IFERROR(CONCATENATE((INDEX($A$7:$A$78,SMALL(IF($Z$7:$Z$78&lt;&gt;"",IF($W$7:$W$78&lt;&gt;"",ROW($W$7:$W$78)-MIN(ROW($W$7:$W$78))+1,""),""),ROW()-ROW(A$80)+1))),),"")</f>
        <v/>
      </c>
      <c r="AC104" s="1" t="str">
        <f t="array" ref="AC104">IFERROR(CONCATENATE((INDEX($AF$7:$AF$78,SMALL(IF($AF$7:$AF$78&lt;&gt;"",IF($AC$7:$AC$78&lt;&gt;"",ROW($AC$7:$AC$78)-MIN(ROW($AC$7:$AC$78))+1,""),""),ROW()-ROW(A$80)+1))),","),"")</f>
        <v/>
      </c>
      <c r="AD104" s="1" t="str">
        <f t="array" ref="AD104">IFERROR(CONCATENATE(TEXT(INDEX($AC$7:$AC$78,SMALL(IF($AF$7:$AF$78&lt;&gt;"",IF($AC$7:$AC$78&lt;&gt;"",ROW($AC$7:$AC$78)-MIN(ROW($AC$7:$AC$78))+1,""),""),ROW()-ROW(A$80)+1)),"##0"),","),"")</f>
        <v/>
      </c>
      <c r="AE104" s="1" t="str">
        <f t="array" ref="AE104">IFERROR(CONCATENATE((INDEX($A$7:$A$78,SMALL(IF($AF$7:$AF$78&lt;&gt;"",IF($AC$7:$AC$78&lt;&gt;"",ROW($AC$7:$AC$78)-MIN(ROW($AC$7:$AC$78))+1,""),""),ROW()-ROW(A$80)+1))),),"")</f>
        <v/>
      </c>
      <c r="AI104" s="1" t="str">
        <f t="array" ref="AI104">IFERROR(CONCATENATE((INDEX($AL$7:$AL$78,SMALL(IF($AL$7:$AL$78&lt;&gt;"",IF($AI$7:$AI$78&lt;&gt;"",ROW($AI$7:$AI$78)-MIN(ROW($AI$7:$AI$78))+1,""),""),ROW()-ROW(A$80)+1)))," "),"")</f>
        <v/>
      </c>
      <c r="AJ104" s="1" t="str">
        <f t="array" ref="AJ104">IFERROR(CONCATENATE(TEXT(INDEX($AI$7:$AI$78,SMALL(IF($AL$7:$AL$78&lt;&gt;"",IF($AI$7:$AI$78&lt;&gt;"",ROW($AI$7:$AI$78)-MIN(ROW($AI$7:$AI$78))+1,""),""),ROW()-ROW(A$80)+1)),"##0")," "),"")</f>
        <v/>
      </c>
      <c r="AK104" s="1" t="str">
        <f t="array" ref="AK104">IFERROR(CONCATENATE((INDEX($A$7:$A$78,SMALL(IF($AL$7:$AL$78&lt;&gt;"",IF($AI$7:$AI$78&lt;&gt;"",ROW($AI$7:$AI$78)-MIN(ROW($AI$7:$AI$78))+1,""),""),ROW()-ROW(A$80)+1))),),"")</f>
        <v/>
      </c>
    </row>
    <row r="105" spans="11:37" x14ac:dyDescent="0.25">
      <c r="K105" s="1" t="str">
        <f t="array" ref="K105">IFERROR(CONCATENATE(TEXT(INDEX($K$7:$K$78,SMALL(IF($N$7:$N$78&lt;&gt;"",IF($K$7:$K$78&lt;&gt;"",ROW($K$7:$K$78)-MIN(ROW($K$7:$K$78))+1,""),""),ROW()-ROW(A$80)+1)),"##0"),","),"")</f>
        <v/>
      </c>
      <c r="L105" s="1" t="str">
        <f t="array" ref="L105">IFERROR(CONCATENATE((INDEX($N$7:$N$78,SMALL(IF($N$7:$N$78&lt;&gt;"",IF($K$7:$K$78&lt;&gt;"",ROW($K$7:$K$78)-MIN(ROW($K$7:$K$78))+1,""),""),ROW()-ROW(A$80)+1))),","),"")</f>
        <v/>
      </c>
      <c r="M105" s="1" t="str">
        <f t="array" ref="M105">IFERROR(CONCATENATE((INDEX($A$7:$A$78,SMALL(IF($N$7:$N$78&lt;&gt;"",IF($K$7:$K$78&lt;&gt;"",ROW($K$7:$K$78)-MIN(ROW($K$7:$K$78))+1,""),""),ROW()-ROW(A$80)+1))),),"")</f>
        <v/>
      </c>
      <c r="Q105" s="1" t="str">
        <f t="array" ref="Q105">IFERROR(CONCATENATE((INDEX($T$7:$T$78,SMALL(IF($T$7:$T$78&lt;&gt;"",IF($Q$7:$Q$78&lt;&gt;"",ROW($Q$7:$Q$78)-MIN(ROW($Q$7:$Q$78))+1,""),""),ROW()-ROW(A$80)+1)))," "),"")</f>
        <v/>
      </c>
      <c r="R105" s="1" t="str">
        <f t="array" ref="R105">IFERROR(CONCATENATE(TEXT(INDEX($Q$7:$Q$78,SMALL(IF($T$7:$T$78&lt;&gt;"",IF($Q$7:$Q$78&lt;&gt;"",ROW($Q$7:$Q$78)-MIN(ROW($Q$7:$Q$78))+1,""),""),ROW()-ROW(A$80)+1)),"##0")," "),"")</f>
        <v/>
      </c>
      <c r="S105" s="1" t="str">
        <f t="array" ref="S105">IFERROR(CONCATENATE((INDEX($A$7:$A$78,SMALL(IF($T$7:$T$78&lt;&gt;"",IF($Q$7:$Q$78&lt;&gt;"",ROW($Q$7:$Q$78)-MIN(ROW($Q$7:$Q$78))+1,""),""),ROW()-ROW(A$80)+1))),),"")</f>
        <v/>
      </c>
      <c r="W105" s="1" t="str">
        <f t="array" ref="W105">IFERROR(CONCATENATE((INDEX($Z$7:$Z$78,SMALL(IF($Z$7:$Z$78&lt;&gt;"",IF($W$7:$W$78&lt;&gt;"",ROW($W$7:$W$78)-MIN(ROW($W$7:$W$78))+1,""),""),ROW()-ROW(A$80)+1)))," "),"")</f>
        <v/>
      </c>
      <c r="X105" s="1" t="str">
        <f t="array" ref="X105">IFERROR(CONCATENATE(TEXT(INDEX($W$7:$W$78,SMALL(IF($Z$7:$Z$78&lt;&gt;"",IF($W$7:$W$78&lt;&gt;"",ROW($W$7:$W$78)-MIN(ROW($W$7:$W$78))+1,""),""),ROW()-ROW(A$80)+1)),"##0")," "),"")</f>
        <v/>
      </c>
      <c r="Y105" s="1" t="str">
        <f t="array" ref="Y105">IFERROR(CONCATENATE((INDEX($A$7:$A$78,SMALL(IF($Z$7:$Z$78&lt;&gt;"",IF($W$7:$W$78&lt;&gt;"",ROW($W$7:$W$78)-MIN(ROW($W$7:$W$78))+1,""),""),ROW()-ROW(A$80)+1))),),"")</f>
        <v/>
      </c>
      <c r="AC105" s="1" t="str">
        <f t="array" ref="AC105">IFERROR(CONCATENATE((INDEX($AF$7:$AF$78,SMALL(IF($AF$7:$AF$78&lt;&gt;"",IF($AC$7:$AC$78&lt;&gt;"",ROW($AC$7:$AC$78)-MIN(ROW($AC$7:$AC$78))+1,""),""),ROW()-ROW(A$80)+1))),","),"")</f>
        <v/>
      </c>
      <c r="AD105" s="1" t="str">
        <f t="array" ref="AD105">IFERROR(CONCATENATE(TEXT(INDEX($AC$7:$AC$78,SMALL(IF($AF$7:$AF$78&lt;&gt;"",IF($AC$7:$AC$78&lt;&gt;"",ROW($AC$7:$AC$78)-MIN(ROW($AC$7:$AC$78))+1,""),""),ROW()-ROW(A$80)+1)),"##0"),","),"")</f>
        <v/>
      </c>
      <c r="AE105" s="1" t="str">
        <f t="array" ref="AE105">IFERROR(CONCATENATE((INDEX($A$7:$A$78,SMALL(IF($AF$7:$AF$78&lt;&gt;"",IF($AC$7:$AC$78&lt;&gt;"",ROW($AC$7:$AC$78)-MIN(ROW($AC$7:$AC$78))+1,""),""),ROW()-ROW(A$80)+1))),),"")</f>
        <v/>
      </c>
      <c r="AI105" s="1" t="str">
        <f t="array" ref="AI105">IFERROR(CONCATENATE((INDEX($AL$7:$AL$78,SMALL(IF($AL$7:$AL$78&lt;&gt;"",IF($AI$7:$AI$78&lt;&gt;"",ROW($AI$7:$AI$78)-MIN(ROW($AI$7:$AI$78))+1,""),""),ROW()-ROW(A$80)+1)))," "),"")</f>
        <v/>
      </c>
      <c r="AJ105" s="1" t="str">
        <f t="array" ref="AJ105">IFERROR(CONCATENATE(TEXT(INDEX($AI$7:$AI$78,SMALL(IF($AL$7:$AL$78&lt;&gt;"",IF($AI$7:$AI$78&lt;&gt;"",ROW($AI$7:$AI$78)-MIN(ROW($AI$7:$AI$78))+1,""),""),ROW()-ROW(A$80)+1)),"##0")," "),"")</f>
        <v/>
      </c>
      <c r="AK105" s="1" t="str">
        <f t="array" ref="AK105">IFERROR(CONCATENATE((INDEX($A$7:$A$78,SMALL(IF($AL$7:$AL$78&lt;&gt;"",IF($AI$7:$AI$78&lt;&gt;"",ROW($AI$7:$AI$78)-MIN(ROW($AI$7:$AI$78))+1,""),""),ROW()-ROW(A$80)+1))),),"")</f>
        <v/>
      </c>
    </row>
    <row r="106" spans="11:37" x14ac:dyDescent="0.25">
      <c r="K106" s="1" t="str">
        <f t="array" ref="K106">IFERROR(CONCATENATE(TEXT(INDEX($K$7:$K$78,SMALL(IF($N$7:$N$78&lt;&gt;"",IF($K$7:$K$78&lt;&gt;"",ROW($K$7:$K$78)-MIN(ROW($K$7:$K$78))+1,""),""),ROW()-ROW(A$80)+1)),"##0"),","),"")</f>
        <v/>
      </c>
      <c r="L106" s="1" t="str">
        <f t="array" ref="L106">IFERROR(CONCATENATE((INDEX($N$7:$N$78,SMALL(IF($N$7:$N$78&lt;&gt;"",IF($K$7:$K$78&lt;&gt;"",ROW($K$7:$K$78)-MIN(ROW($K$7:$K$78))+1,""),""),ROW()-ROW(A$80)+1))),","),"")</f>
        <v/>
      </c>
      <c r="M106" s="1" t="str">
        <f t="array" ref="M106">IFERROR(CONCATENATE((INDEX($A$7:$A$78,SMALL(IF($N$7:$N$78&lt;&gt;"",IF($K$7:$K$78&lt;&gt;"",ROW($K$7:$K$78)-MIN(ROW($K$7:$K$78))+1,""),""),ROW()-ROW(A$80)+1))),),"")</f>
        <v/>
      </c>
      <c r="Q106" s="1" t="str">
        <f t="array" ref="Q106">IFERROR(CONCATENATE((INDEX($T$7:$T$78,SMALL(IF($T$7:$T$78&lt;&gt;"",IF($Q$7:$Q$78&lt;&gt;"",ROW($Q$7:$Q$78)-MIN(ROW($Q$7:$Q$78))+1,""),""),ROW()-ROW(A$80)+1)))," "),"")</f>
        <v/>
      </c>
      <c r="R106" s="1" t="str">
        <f t="array" ref="R106">IFERROR(CONCATENATE(TEXT(INDEX($Q$7:$Q$78,SMALL(IF($T$7:$T$78&lt;&gt;"",IF($Q$7:$Q$78&lt;&gt;"",ROW($Q$7:$Q$78)-MIN(ROW($Q$7:$Q$78))+1,""),""),ROW()-ROW(A$80)+1)),"##0")," "),"")</f>
        <v/>
      </c>
      <c r="S106" s="1" t="str">
        <f t="array" ref="S106">IFERROR(CONCATENATE((INDEX($A$7:$A$78,SMALL(IF($T$7:$T$78&lt;&gt;"",IF($Q$7:$Q$78&lt;&gt;"",ROW($Q$7:$Q$78)-MIN(ROW($Q$7:$Q$78))+1,""),""),ROW()-ROW(A$80)+1))),),"")</f>
        <v/>
      </c>
      <c r="W106" s="1" t="str">
        <f t="array" ref="W106">IFERROR(CONCATENATE((INDEX($Z$7:$Z$78,SMALL(IF($Z$7:$Z$78&lt;&gt;"",IF($W$7:$W$78&lt;&gt;"",ROW($W$7:$W$78)-MIN(ROW($W$7:$W$78))+1,""),""),ROW()-ROW(A$80)+1)))," "),"")</f>
        <v/>
      </c>
      <c r="X106" s="1" t="str">
        <f t="array" ref="X106">IFERROR(CONCATENATE(TEXT(INDEX($W$7:$W$78,SMALL(IF($Z$7:$Z$78&lt;&gt;"",IF($W$7:$W$78&lt;&gt;"",ROW($W$7:$W$78)-MIN(ROW($W$7:$W$78))+1,""),""),ROW()-ROW(A$80)+1)),"##0")," "),"")</f>
        <v/>
      </c>
      <c r="Y106" s="1" t="str">
        <f t="array" ref="Y106">IFERROR(CONCATENATE((INDEX($A$7:$A$78,SMALL(IF($Z$7:$Z$78&lt;&gt;"",IF($W$7:$W$78&lt;&gt;"",ROW($W$7:$W$78)-MIN(ROW($W$7:$W$78))+1,""),""),ROW()-ROW(A$80)+1))),),"")</f>
        <v/>
      </c>
      <c r="AC106" s="1" t="str">
        <f t="array" ref="AC106">IFERROR(CONCATENATE((INDEX($AF$7:$AF$78,SMALL(IF($AF$7:$AF$78&lt;&gt;"",IF($AC$7:$AC$78&lt;&gt;"",ROW($AC$7:$AC$78)-MIN(ROW($AC$7:$AC$78))+1,""),""),ROW()-ROW(A$80)+1))),","),"")</f>
        <v/>
      </c>
      <c r="AD106" s="1" t="str">
        <f t="array" ref="AD106">IFERROR(CONCATENATE(TEXT(INDEX($AC$7:$AC$78,SMALL(IF($AF$7:$AF$78&lt;&gt;"",IF($AC$7:$AC$78&lt;&gt;"",ROW($AC$7:$AC$78)-MIN(ROW($AC$7:$AC$78))+1,""),""),ROW()-ROW(A$80)+1)),"##0"),","),"")</f>
        <v/>
      </c>
      <c r="AE106" s="1" t="str">
        <f t="array" ref="AE106">IFERROR(CONCATENATE((INDEX($A$7:$A$78,SMALL(IF($AF$7:$AF$78&lt;&gt;"",IF($AC$7:$AC$78&lt;&gt;"",ROW($AC$7:$AC$78)-MIN(ROW($AC$7:$AC$78))+1,""),""),ROW()-ROW(A$80)+1))),),"")</f>
        <v/>
      </c>
      <c r="AI106" s="1" t="str">
        <f t="array" ref="AI106">IFERROR(CONCATENATE((INDEX($AL$7:$AL$78,SMALL(IF($AL$7:$AL$78&lt;&gt;"",IF($AI$7:$AI$78&lt;&gt;"",ROW($AI$7:$AI$78)-MIN(ROW($AI$7:$AI$78))+1,""),""),ROW()-ROW(A$80)+1)))," "),"")</f>
        <v/>
      </c>
      <c r="AJ106" s="1" t="str">
        <f t="array" ref="AJ106">IFERROR(CONCATENATE(TEXT(INDEX($AI$7:$AI$78,SMALL(IF($AL$7:$AL$78&lt;&gt;"",IF($AI$7:$AI$78&lt;&gt;"",ROW($AI$7:$AI$78)-MIN(ROW($AI$7:$AI$78))+1,""),""),ROW()-ROW(A$80)+1)),"##0")," "),"")</f>
        <v/>
      </c>
      <c r="AK106" s="1" t="str">
        <f t="array" ref="AK106">IFERROR(CONCATENATE((INDEX($A$7:$A$78,SMALL(IF($AL$7:$AL$78&lt;&gt;"",IF($AI$7:$AI$78&lt;&gt;"",ROW($AI$7:$AI$78)-MIN(ROW($AI$7:$AI$78))+1,""),""),ROW()-ROW(A$80)+1))),),"")</f>
        <v/>
      </c>
    </row>
    <row r="107" spans="11:37" x14ac:dyDescent="0.25">
      <c r="K107" s="1" t="str">
        <f t="array" ref="K107">IFERROR(CONCATENATE(TEXT(INDEX($K$7:$K$78,SMALL(IF($N$7:$N$78&lt;&gt;"",IF($K$7:$K$78&lt;&gt;"",ROW($K$7:$K$78)-MIN(ROW($K$7:$K$78))+1,""),""),ROW()-ROW(A$80)+1)),"##0"),","),"")</f>
        <v/>
      </c>
      <c r="L107" s="1" t="str">
        <f t="array" ref="L107">IFERROR(CONCATENATE((INDEX($N$7:$N$78,SMALL(IF($N$7:$N$78&lt;&gt;"",IF($K$7:$K$78&lt;&gt;"",ROW($K$7:$K$78)-MIN(ROW($K$7:$K$78))+1,""),""),ROW()-ROW(A$80)+1))),","),"")</f>
        <v/>
      </c>
      <c r="M107" s="1" t="str">
        <f t="array" ref="M107">IFERROR(CONCATENATE((INDEX($A$7:$A$78,SMALL(IF($N$7:$N$78&lt;&gt;"",IF($K$7:$K$78&lt;&gt;"",ROW($K$7:$K$78)-MIN(ROW($K$7:$K$78))+1,""),""),ROW()-ROW(A$80)+1))),),"")</f>
        <v/>
      </c>
      <c r="Q107" s="1" t="str">
        <f t="array" ref="Q107">IFERROR(CONCATENATE((INDEX($T$7:$T$78,SMALL(IF($T$7:$T$78&lt;&gt;"",IF($Q$7:$Q$78&lt;&gt;"",ROW($Q$7:$Q$78)-MIN(ROW($Q$7:$Q$78))+1,""),""),ROW()-ROW(A$80)+1)))," "),"")</f>
        <v/>
      </c>
      <c r="R107" s="1" t="str">
        <f t="array" ref="R107">IFERROR(CONCATENATE(TEXT(INDEX($Q$7:$Q$78,SMALL(IF($T$7:$T$78&lt;&gt;"",IF($Q$7:$Q$78&lt;&gt;"",ROW($Q$7:$Q$78)-MIN(ROW($Q$7:$Q$78))+1,""),""),ROW()-ROW(A$80)+1)),"##0")," "),"")</f>
        <v/>
      </c>
      <c r="S107" s="1" t="str">
        <f t="array" ref="S107">IFERROR(CONCATENATE((INDEX($A$7:$A$78,SMALL(IF($T$7:$T$78&lt;&gt;"",IF($Q$7:$Q$78&lt;&gt;"",ROW($Q$7:$Q$78)-MIN(ROW($Q$7:$Q$78))+1,""),""),ROW()-ROW(A$80)+1))),),"")</f>
        <v/>
      </c>
      <c r="W107" s="1" t="str">
        <f t="array" ref="W107">IFERROR(CONCATENATE((INDEX($Z$7:$Z$78,SMALL(IF($Z$7:$Z$78&lt;&gt;"",IF($W$7:$W$78&lt;&gt;"",ROW($W$7:$W$78)-MIN(ROW($W$7:$W$78))+1,""),""),ROW()-ROW(A$80)+1)))," "),"")</f>
        <v/>
      </c>
      <c r="X107" s="1" t="str">
        <f t="array" ref="X107">IFERROR(CONCATENATE(TEXT(INDEX($W$7:$W$78,SMALL(IF($Z$7:$Z$78&lt;&gt;"",IF($W$7:$W$78&lt;&gt;"",ROW($W$7:$W$78)-MIN(ROW($W$7:$W$78))+1,""),""),ROW()-ROW(A$80)+1)),"##0")," "),"")</f>
        <v/>
      </c>
      <c r="Y107" s="1" t="str">
        <f t="array" ref="Y107">IFERROR(CONCATENATE((INDEX($A$7:$A$78,SMALL(IF($Z$7:$Z$78&lt;&gt;"",IF($W$7:$W$78&lt;&gt;"",ROW($W$7:$W$78)-MIN(ROW($W$7:$W$78))+1,""),""),ROW()-ROW(A$80)+1))),),"")</f>
        <v/>
      </c>
      <c r="AC107" s="1" t="str">
        <f t="array" ref="AC107">IFERROR(CONCATENATE((INDEX($AF$7:$AF$78,SMALL(IF($AF$7:$AF$78&lt;&gt;"",IF($AC$7:$AC$78&lt;&gt;"",ROW($AC$7:$AC$78)-MIN(ROW($AC$7:$AC$78))+1,""),""),ROW()-ROW(A$80)+1))),","),"")</f>
        <v/>
      </c>
      <c r="AD107" s="1" t="str">
        <f t="array" ref="AD107">IFERROR(CONCATENATE(TEXT(INDEX($AC$7:$AC$78,SMALL(IF($AF$7:$AF$78&lt;&gt;"",IF($AC$7:$AC$78&lt;&gt;"",ROW($AC$7:$AC$78)-MIN(ROW($AC$7:$AC$78))+1,""),""),ROW()-ROW(A$80)+1)),"##0"),","),"")</f>
        <v/>
      </c>
      <c r="AE107" s="1" t="str">
        <f t="array" ref="AE107">IFERROR(CONCATENATE((INDEX($A$7:$A$78,SMALL(IF($AF$7:$AF$78&lt;&gt;"",IF($AC$7:$AC$78&lt;&gt;"",ROW($AC$7:$AC$78)-MIN(ROW($AC$7:$AC$78))+1,""),""),ROW()-ROW(A$80)+1))),),"")</f>
        <v/>
      </c>
      <c r="AI107" s="1" t="str">
        <f t="array" ref="AI107">IFERROR(CONCATENATE((INDEX($AL$7:$AL$78,SMALL(IF($AL$7:$AL$78&lt;&gt;"",IF($AI$7:$AI$78&lt;&gt;"",ROW($AI$7:$AI$78)-MIN(ROW($AI$7:$AI$78))+1,""),""),ROW()-ROW(A$80)+1)))," "),"")</f>
        <v/>
      </c>
      <c r="AJ107" s="1" t="str">
        <f t="array" ref="AJ107">IFERROR(CONCATENATE(TEXT(INDEX($AI$7:$AI$78,SMALL(IF($AL$7:$AL$78&lt;&gt;"",IF($AI$7:$AI$78&lt;&gt;"",ROW($AI$7:$AI$78)-MIN(ROW($AI$7:$AI$78))+1,""),""),ROW()-ROW(A$80)+1)),"##0")," "),"")</f>
        <v/>
      </c>
      <c r="AK107" s="1" t="str">
        <f t="array" ref="AK107">IFERROR(CONCATENATE((INDEX($A$7:$A$78,SMALL(IF($AL$7:$AL$78&lt;&gt;"",IF($AI$7:$AI$78&lt;&gt;"",ROW($AI$7:$AI$78)-MIN(ROW($AI$7:$AI$78))+1,""),""),ROW()-ROW(A$80)+1))),),"")</f>
        <v/>
      </c>
    </row>
    <row r="108" spans="11:37" x14ac:dyDescent="0.25">
      <c r="K108" s="1" t="str">
        <f t="array" ref="K108">IFERROR(CONCATENATE(TEXT(INDEX($K$7:$K$78,SMALL(IF($N$7:$N$78&lt;&gt;"",IF($K$7:$K$78&lt;&gt;"",ROW($K$7:$K$78)-MIN(ROW($K$7:$K$78))+1,""),""),ROW()-ROW(A$80)+1)),"##0"),","),"")</f>
        <v/>
      </c>
      <c r="L108" s="1" t="str">
        <f t="array" ref="L108">IFERROR(CONCATENATE((INDEX($N$7:$N$78,SMALL(IF($N$7:$N$78&lt;&gt;"",IF($K$7:$K$78&lt;&gt;"",ROW($K$7:$K$78)-MIN(ROW($K$7:$K$78))+1,""),""),ROW()-ROW(A$80)+1))),","),"")</f>
        <v/>
      </c>
      <c r="M108" s="1" t="str">
        <f t="array" ref="M108">IFERROR(CONCATENATE((INDEX($A$7:$A$78,SMALL(IF($N$7:$N$78&lt;&gt;"",IF($K$7:$K$78&lt;&gt;"",ROW($K$7:$K$78)-MIN(ROW($K$7:$K$78))+1,""),""),ROW()-ROW(A$80)+1))),),"")</f>
        <v/>
      </c>
      <c r="Q108" s="1" t="str">
        <f t="array" ref="Q108">IFERROR(CONCATENATE((INDEX($T$7:$T$78,SMALL(IF($T$7:$T$78&lt;&gt;"",IF($Q$7:$Q$78&lt;&gt;"",ROW($Q$7:$Q$78)-MIN(ROW($Q$7:$Q$78))+1,""),""),ROW()-ROW(A$80)+1)))," "),"")</f>
        <v/>
      </c>
      <c r="R108" s="1" t="str">
        <f t="array" ref="R108">IFERROR(CONCATENATE(TEXT(INDEX($Q$7:$Q$78,SMALL(IF($T$7:$T$78&lt;&gt;"",IF($Q$7:$Q$78&lt;&gt;"",ROW($Q$7:$Q$78)-MIN(ROW($Q$7:$Q$78))+1,""),""),ROW()-ROW(A$80)+1)),"##0")," "),"")</f>
        <v/>
      </c>
      <c r="S108" s="1" t="str">
        <f t="array" ref="S108">IFERROR(CONCATENATE((INDEX($A$7:$A$78,SMALL(IF($T$7:$T$78&lt;&gt;"",IF($Q$7:$Q$78&lt;&gt;"",ROW($Q$7:$Q$78)-MIN(ROW($Q$7:$Q$78))+1,""),""),ROW()-ROW(A$80)+1))),),"")</f>
        <v/>
      </c>
      <c r="W108" s="1" t="str">
        <f t="array" ref="W108">IFERROR(CONCATENATE((INDEX($Z$7:$Z$78,SMALL(IF($Z$7:$Z$78&lt;&gt;"",IF($W$7:$W$78&lt;&gt;"",ROW($W$7:$W$78)-MIN(ROW($W$7:$W$78))+1,""),""),ROW()-ROW(A$80)+1)))," "),"")</f>
        <v/>
      </c>
      <c r="X108" s="1" t="str">
        <f t="array" ref="X108">IFERROR(CONCATENATE(TEXT(INDEX($W$7:$W$78,SMALL(IF($Z$7:$Z$78&lt;&gt;"",IF($W$7:$W$78&lt;&gt;"",ROW($W$7:$W$78)-MIN(ROW($W$7:$W$78))+1,""),""),ROW()-ROW(A$80)+1)),"##0")," "),"")</f>
        <v/>
      </c>
      <c r="Y108" s="1" t="str">
        <f t="array" ref="Y108">IFERROR(CONCATENATE((INDEX($A$7:$A$78,SMALL(IF($Z$7:$Z$78&lt;&gt;"",IF($W$7:$W$78&lt;&gt;"",ROW($W$7:$W$78)-MIN(ROW($W$7:$W$78))+1,""),""),ROW()-ROW(A$80)+1))),),"")</f>
        <v/>
      </c>
      <c r="AC108" s="1" t="str">
        <f t="array" ref="AC108">IFERROR(CONCATENATE((INDEX($AF$7:$AF$78,SMALL(IF($AF$7:$AF$78&lt;&gt;"",IF($AC$7:$AC$78&lt;&gt;"",ROW($AC$7:$AC$78)-MIN(ROW($AC$7:$AC$78))+1,""),""),ROW()-ROW(A$80)+1))),","),"")</f>
        <v/>
      </c>
      <c r="AD108" s="1" t="str">
        <f t="array" ref="AD108">IFERROR(CONCATENATE(TEXT(INDEX($AC$7:$AC$78,SMALL(IF($AF$7:$AF$78&lt;&gt;"",IF($AC$7:$AC$78&lt;&gt;"",ROW($AC$7:$AC$78)-MIN(ROW($AC$7:$AC$78))+1,""),""),ROW()-ROW(A$80)+1)),"##0"),","),"")</f>
        <v/>
      </c>
      <c r="AE108" s="1" t="str">
        <f t="array" ref="AE108">IFERROR(CONCATENATE((INDEX($A$7:$A$78,SMALL(IF($AF$7:$AF$78&lt;&gt;"",IF($AC$7:$AC$78&lt;&gt;"",ROW($AC$7:$AC$78)-MIN(ROW($AC$7:$AC$78))+1,""),""),ROW()-ROW(A$80)+1))),),"")</f>
        <v/>
      </c>
      <c r="AI108" s="1" t="str">
        <f t="array" ref="AI108">IFERROR(CONCATENATE((INDEX($AL$7:$AL$78,SMALL(IF($AL$7:$AL$78&lt;&gt;"",IF($AI$7:$AI$78&lt;&gt;"",ROW($AI$7:$AI$78)-MIN(ROW($AI$7:$AI$78))+1,""),""),ROW()-ROW(A$80)+1)))," "),"")</f>
        <v/>
      </c>
      <c r="AJ108" s="1" t="str">
        <f t="array" ref="AJ108">IFERROR(CONCATENATE(TEXT(INDEX($AI$7:$AI$78,SMALL(IF($AL$7:$AL$78&lt;&gt;"",IF($AI$7:$AI$78&lt;&gt;"",ROW($AI$7:$AI$78)-MIN(ROW($AI$7:$AI$78))+1,""),""),ROW()-ROW(A$80)+1)),"##0")," "),"")</f>
        <v/>
      </c>
      <c r="AK108" s="1" t="str">
        <f t="array" ref="AK108">IFERROR(CONCATENATE((INDEX($A$7:$A$78,SMALL(IF($AL$7:$AL$78&lt;&gt;"",IF($AI$7:$AI$78&lt;&gt;"",ROW($AI$7:$AI$78)-MIN(ROW($AI$7:$AI$78))+1,""),""),ROW()-ROW(A$80)+1))),),"")</f>
        <v/>
      </c>
    </row>
    <row r="109" spans="11:37" x14ac:dyDescent="0.25">
      <c r="K109" s="1" t="str">
        <f t="array" ref="K109">IFERROR(CONCATENATE(TEXT(INDEX($K$7:$K$78,SMALL(IF($N$7:$N$78&lt;&gt;"",IF($K$7:$K$78&lt;&gt;"",ROW($K$7:$K$78)-MIN(ROW($K$7:$K$78))+1,""),""),ROW()-ROW(A$80)+1)),"##0"),","),"")</f>
        <v/>
      </c>
      <c r="L109" s="1" t="str">
        <f t="array" ref="L109">IFERROR(CONCATENATE((INDEX($N$7:$N$78,SMALL(IF($N$7:$N$78&lt;&gt;"",IF($K$7:$K$78&lt;&gt;"",ROW($K$7:$K$78)-MIN(ROW($K$7:$K$78))+1,""),""),ROW()-ROW(A$80)+1))),","),"")</f>
        <v/>
      </c>
      <c r="M109" s="1" t="str">
        <f t="array" ref="M109">IFERROR(CONCATENATE((INDEX($A$7:$A$78,SMALL(IF($N$7:$N$78&lt;&gt;"",IF($K$7:$K$78&lt;&gt;"",ROW($K$7:$K$78)-MIN(ROW($K$7:$K$78))+1,""),""),ROW()-ROW(A$80)+1))),),"")</f>
        <v/>
      </c>
      <c r="Q109" s="1" t="str">
        <f t="array" ref="Q109">IFERROR(CONCATENATE((INDEX($T$7:$T$78,SMALL(IF($T$7:$T$78&lt;&gt;"",IF($Q$7:$Q$78&lt;&gt;"",ROW($Q$7:$Q$78)-MIN(ROW($Q$7:$Q$78))+1,""),""),ROW()-ROW(A$80)+1)))," "),"")</f>
        <v/>
      </c>
      <c r="R109" s="1" t="str">
        <f t="array" ref="R109">IFERROR(CONCATENATE(TEXT(INDEX($Q$7:$Q$78,SMALL(IF($T$7:$T$78&lt;&gt;"",IF($Q$7:$Q$78&lt;&gt;"",ROW($Q$7:$Q$78)-MIN(ROW($Q$7:$Q$78))+1,""),""),ROW()-ROW(A$80)+1)),"##0")," "),"")</f>
        <v/>
      </c>
      <c r="S109" s="1" t="str">
        <f t="array" ref="S109">IFERROR(CONCATENATE((INDEX($A$7:$A$78,SMALL(IF($T$7:$T$78&lt;&gt;"",IF($Q$7:$Q$78&lt;&gt;"",ROW($Q$7:$Q$78)-MIN(ROW($Q$7:$Q$78))+1,""),""),ROW()-ROW(A$80)+1))),),"")</f>
        <v/>
      </c>
      <c r="W109" s="1" t="str">
        <f t="array" ref="W109">IFERROR(CONCATENATE((INDEX($Z$7:$Z$78,SMALL(IF($Z$7:$Z$78&lt;&gt;"",IF($W$7:$W$78&lt;&gt;"",ROW($W$7:$W$78)-MIN(ROW($W$7:$W$78))+1,""),""),ROW()-ROW(A$80)+1)))," "),"")</f>
        <v/>
      </c>
      <c r="X109" s="1" t="str">
        <f t="array" ref="X109">IFERROR(CONCATENATE(TEXT(INDEX($W$7:$W$78,SMALL(IF($Z$7:$Z$78&lt;&gt;"",IF($W$7:$W$78&lt;&gt;"",ROW($W$7:$W$78)-MIN(ROW($W$7:$W$78))+1,""),""),ROW()-ROW(A$80)+1)),"##0")," "),"")</f>
        <v/>
      </c>
      <c r="Y109" s="1" t="str">
        <f t="array" ref="Y109">IFERROR(CONCATENATE((INDEX($A$7:$A$78,SMALL(IF($Z$7:$Z$78&lt;&gt;"",IF($W$7:$W$78&lt;&gt;"",ROW($W$7:$W$78)-MIN(ROW($W$7:$W$78))+1,""),""),ROW()-ROW(A$80)+1))),),"")</f>
        <v/>
      </c>
      <c r="AC109" s="1" t="str">
        <f t="array" ref="AC109">IFERROR(CONCATENATE((INDEX($AF$7:$AF$78,SMALL(IF($AF$7:$AF$78&lt;&gt;"",IF($AC$7:$AC$78&lt;&gt;"",ROW($AC$7:$AC$78)-MIN(ROW($AC$7:$AC$78))+1,""),""),ROW()-ROW(A$80)+1))),","),"")</f>
        <v/>
      </c>
      <c r="AD109" s="1" t="str">
        <f t="array" ref="AD109">IFERROR(CONCATENATE(TEXT(INDEX($AC$7:$AC$78,SMALL(IF($AF$7:$AF$78&lt;&gt;"",IF($AC$7:$AC$78&lt;&gt;"",ROW($AC$7:$AC$78)-MIN(ROW($AC$7:$AC$78))+1,""),""),ROW()-ROW(A$80)+1)),"##0"),","),"")</f>
        <v/>
      </c>
      <c r="AE109" s="1" t="str">
        <f t="array" ref="AE109">IFERROR(CONCATENATE((INDEX($A$7:$A$78,SMALL(IF($AF$7:$AF$78&lt;&gt;"",IF($AC$7:$AC$78&lt;&gt;"",ROW($AC$7:$AC$78)-MIN(ROW($AC$7:$AC$78))+1,""),""),ROW()-ROW(A$80)+1))),),"")</f>
        <v/>
      </c>
      <c r="AI109" s="1" t="str">
        <f t="array" ref="AI109">IFERROR(CONCATENATE((INDEX($AL$7:$AL$78,SMALL(IF($AL$7:$AL$78&lt;&gt;"",IF($AI$7:$AI$78&lt;&gt;"",ROW($AI$7:$AI$78)-MIN(ROW($AI$7:$AI$78))+1,""),""),ROW()-ROW(A$80)+1)))," "),"")</f>
        <v/>
      </c>
      <c r="AJ109" s="1" t="str">
        <f t="array" ref="AJ109">IFERROR(CONCATENATE(TEXT(INDEX($AI$7:$AI$78,SMALL(IF($AL$7:$AL$78&lt;&gt;"",IF($AI$7:$AI$78&lt;&gt;"",ROW($AI$7:$AI$78)-MIN(ROW($AI$7:$AI$78))+1,""),""),ROW()-ROW(A$80)+1)),"##0")," "),"")</f>
        <v/>
      </c>
      <c r="AK109" s="1" t="str">
        <f t="array" ref="AK109">IFERROR(CONCATENATE((INDEX($A$7:$A$78,SMALL(IF($AL$7:$AL$78&lt;&gt;"",IF($AI$7:$AI$78&lt;&gt;"",ROW($AI$7:$AI$78)-MIN(ROW($AI$7:$AI$78))+1,""),""),ROW()-ROW(A$80)+1))),),"")</f>
        <v/>
      </c>
    </row>
    <row r="110" spans="11:37" x14ac:dyDescent="0.25">
      <c r="K110" s="1" t="str">
        <f t="array" ref="K110">IFERROR(CONCATENATE(TEXT(INDEX($K$7:$K$78,SMALL(IF($N$7:$N$78&lt;&gt;"",IF($K$7:$K$78&lt;&gt;"",ROW($K$7:$K$78)-MIN(ROW($K$7:$K$78))+1,""),""),ROW()-ROW(A$80)+1)),"##0"),","),"")</f>
        <v/>
      </c>
      <c r="L110" s="1" t="str">
        <f t="array" ref="L110">IFERROR(CONCATENATE((INDEX($N$7:$N$78,SMALL(IF($N$7:$N$78&lt;&gt;"",IF($K$7:$K$78&lt;&gt;"",ROW($K$7:$K$78)-MIN(ROW($K$7:$K$78))+1,""),""),ROW()-ROW(A$80)+1))),","),"")</f>
        <v/>
      </c>
      <c r="M110" s="1" t="str">
        <f t="array" ref="M110">IFERROR(CONCATENATE((INDEX($A$7:$A$78,SMALL(IF($N$7:$N$78&lt;&gt;"",IF($K$7:$K$78&lt;&gt;"",ROW($K$7:$K$78)-MIN(ROW($K$7:$K$78))+1,""),""),ROW()-ROW(A$80)+1))),),"")</f>
        <v/>
      </c>
      <c r="Q110" s="1" t="str">
        <f t="array" ref="Q110">IFERROR(CONCATENATE((INDEX($T$7:$T$78,SMALL(IF($T$7:$T$78&lt;&gt;"",IF($Q$7:$Q$78&lt;&gt;"",ROW($Q$7:$Q$78)-MIN(ROW($Q$7:$Q$78))+1,""),""),ROW()-ROW(A$80)+1)))," "),"")</f>
        <v/>
      </c>
      <c r="R110" s="1" t="str">
        <f t="array" ref="R110">IFERROR(CONCATENATE(TEXT(INDEX($Q$7:$Q$78,SMALL(IF($T$7:$T$78&lt;&gt;"",IF($Q$7:$Q$78&lt;&gt;"",ROW($Q$7:$Q$78)-MIN(ROW($Q$7:$Q$78))+1,""),""),ROW()-ROW(A$80)+1)),"##0")," "),"")</f>
        <v/>
      </c>
      <c r="S110" s="1" t="str">
        <f t="array" ref="S110">IFERROR(CONCATENATE((INDEX($A$7:$A$78,SMALL(IF($T$7:$T$78&lt;&gt;"",IF($Q$7:$Q$78&lt;&gt;"",ROW($Q$7:$Q$78)-MIN(ROW($Q$7:$Q$78))+1,""),""),ROW()-ROW(A$80)+1))),),"")</f>
        <v/>
      </c>
      <c r="W110" s="1" t="str">
        <f t="array" ref="W110">IFERROR(CONCATENATE((INDEX($Z$7:$Z$78,SMALL(IF($Z$7:$Z$78&lt;&gt;"",IF($W$7:$W$78&lt;&gt;"",ROW($W$7:$W$78)-MIN(ROW($W$7:$W$78))+1,""),""),ROW()-ROW(A$80)+1)))," "),"")</f>
        <v/>
      </c>
      <c r="X110" s="1" t="str">
        <f t="array" ref="X110">IFERROR(CONCATENATE(TEXT(INDEX($W$7:$W$78,SMALL(IF($Z$7:$Z$78&lt;&gt;"",IF($W$7:$W$78&lt;&gt;"",ROW($W$7:$W$78)-MIN(ROW($W$7:$W$78))+1,""),""),ROW()-ROW(A$80)+1)),"##0")," "),"")</f>
        <v/>
      </c>
      <c r="Y110" s="1" t="str">
        <f t="array" ref="Y110">IFERROR(CONCATENATE((INDEX($A$7:$A$78,SMALL(IF($Z$7:$Z$78&lt;&gt;"",IF($W$7:$W$78&lt;&gt;"",ROW($W$7:$W$78)-MIN(ROW($W$7:$W$78))+1,""),""),ROW()-ROW(A$80)+1))),),"")</f>
        <v/>
      </c>
      <c r="AC110" s="1" t="str">
        <f t="array" ref="AC110">IFERROR(CONCATENATE((INDEX($AF$7:$AF$78,SMALL(IF($AF$7:$AF$78&lt;&gt;"",IF($AC$7:$AC$78&lt;&gt;"",ROW($AC$7:$AC$78)-MIN(ROW($AC$7:$AC$78))+1,""),""),ROW()-ROW(A$80)+1))),","),"")</f>
        <v/>
      </c>
      <c r="AD110" s="1" t="str">
        <f t="array" ref="AD110">IFERROR(CONCATENATE(TEXT(INDEX($AC$7:$AC$78,SMALL(IF($AF$7:$AF$78&lt;&gt;"",IF($AC$7:$AC$78&lt;&gt;"",ROW($AC$7:$AC$78)-MIN(ROW($AC$7:$AC$78))+1,""),""),ROW()-ROW(A$80)+1)),"##0"),","),"")</f>
        <v/>
      </c>
      <c r="AE110" s="1" t="str">
        <f t="array" ref="AE110">IFERROR(CONCATENATE((INDEX($A$7:$A$78,SMALL(IF($AF$7:$AF$78&lt;&gt;"",IF($AC$7:$AC$78&lt;&gt;"",ROW($AC$7:$AC$78)-MIN(ROW($AC$7:$AC$78))+1,""),""),ROW()-ROW(A$80)+1))),),"")</f>
        <v/>
      </c>
      <c r="AI110" s="1" t="str">
        <f t="array" ref="AI110">IFERROR(CONCATENATE((INDEX($AL$7:$AL$78,SMALL(IF($AL$7:$AL$78&lt;&gt;"",IF($AI$7:$AI$78&lt;&gt;"",ROW($AI$7:$AI$78)-MIN(ROW($AI$7:$AI$78))+1,""),""),ROW()-ROW(A$80)+1)))," "),"")</f>
        <v/>
      </c>
      <c r="AJ110" s="1" t="str">
        <f t="array" ref="AJ110">IFERROR(CONCATENATE(TEXT(INDEX($AI$7:$AI$78,SMALL(IF($AL$7:$AL$78&lt;&gt;"",IF($AI$7:$AI$78&lt;&gt;"",ROW($AI$7:$AI$78)-MIN(ROW($AI$7:$AI$78))+1,""),""),ROW()-ROW(A$80)+1)),"##0")," "),"")</f>
        <v/>
      </c>
      <c r="AK110" s="1" t="str">
        <f t="array" ref="AK110">IFERROR(CONCATENATE((INDEX($A$7:$A$78,SMALL(IF($AL$7:$AL$78&lt;&gt;"",IF($AI$7:$AI$78&lt;&gt;"",ROW($AI$7:$AI$78)-MIN(ROW($AI$7:$AI$78))+1,""),""),ROW()-ROW(A$80)+1))),),"")</f>
        <v/>
      </c>
    </row>
    <row r="111" spans="11:37" x14ac:dyDescent="0.25">
      <c r="K111" s="1" t="str">
        <f t="array" ref="K111">IFERROR(CONCATENATE(TEXT(INDEX($K$7:$K$78,SMALL(IF($N$7:$N$78&lt;&gt;"",IF($K$7:$K$78&lt;&gt;"",ROW($K$7:$K$78)-MIN(ROW($K$7:$K$78))+1,""),""),ROW()-ROW(A$80)+1)),"##0"),","),"")</f>
        <v/>
      </c>
      <c r="L111" s="1" t="str">
        <f t="array" ref="L111">IFERROR(CONCATENATE((INDEX($N$7:$N$78,SMALL(IF($N$7:$N$78&lt;&gt;"",IF($K$7:$K$78&lt;&gt;"",ROW($K$7:$K$78)-MIN(ROW($K$7:$K$78))+1,""),""),ROW()-ROW(A$80)+1))),","),"")</f>
        <v/>
      </c>
      <c r="M111" s="1" t="str">
        <f t="array" ref="M111">IFERROR(CONCATENATE((INDEX($A$7:$A$78,SMALL(IF($N$7:$N$78&lt;&gt;"",IF($K$7:$K$78&lt;&gt;"",ROW($K$7:$K$78)-MIN(ROW($K$7:$K$78))+1,""),""),ROW()-ROW(A$80)+1))),),"")</f>
        <v/>
      </c>
      <c r="Q111" s="1" t="str">
        <f t="array" ref="Q111">IFERROR(CONCATENATE((INDEX($T$7:$T$78,SMALL(IF($T$7:$T$78&lt;&gt;"",IF($Q$7:$Q$78&lt;&gt;"",ROW($Q$7:$Q$78)-MIN(ROW($Q$7:$Q$78))+1,""),""),ROW()-ROW(A$80)+1)))," "),"")</f>
        <v/>
      </c>
      <c r="R111" s="1" t="str">
        <f t="array" ref="R111">IFERROR(CONCATENATE(TEXT(INDEX($Q$7:$Q$78,SMALL(IF($T$7:$T$78&lt;&gt;"",IF($Q$7:$Q$78&lt;&gt;"",ROW($Q$7:$Q$78)-MIN(ROW($Q$7:$Q$78))+1,""),""),ROW()-ROW(A$80)+1)),"##0")," "),"")</f>
        <v/>
      </c>
      <c r="S111" s="1" t="str">
        <f t="array" ref="S111">IFERROR(CONCATENATE((INDEX($A$7:$A$78,SMALL(IF($T$7:$T$78&lt;&gt;"",IF($Q$7:$Q$78&lt;&gt;"",ROW($Q$7:$Q$78)-MIN(ROW($Q$7:$Q$78))+1,""),""),ROW()-ROW(A$80)+1))),),"")</f>
        <v/>
      </c>
      <c r="W111" s="1" t="str">
        <f t="array" ref="W111">IFERROR(CONCATENATE((INDEX($Z$7:$Z$78,SMALL(IF($Z$7:$Z$78&lt;&gt;"",IF($W$7:$W$78&lt;&gt;"",ROW($W$7:$W$78)-MIN(ROW($W$7:$W$78))+1,""),""),ROW()-ROW(A$80)+1)))," "),"")</f>
        <v/>
      </c>
      <c r="X111" s="1" t="str">
        <f t="array" ref="X111">IFERROR(CONCATENATE(TEXT(INDEX($W$7:$W$78,SMALL(IF($Z$7:$Z$78&lt;&gt;"",IF($W$7:$W$78&lt;&gt;"",ROW($W$7:$W$78)-MIN(ROW($W$7:$W$78))+1,""),""),ROW()-ROW(A$80)+1)),"##0")," "),"")</f>
        <v/>
      </c>
      <c r="Y111" s="1" t="str">
        <f t="array" ref="Y111">IFERROR(CONCATENATE((INDEX($A$7:$A$78,SMALL(IF($Z$7:$Z$78&lt;&gt;"",IF($W$7:$W$78&lt;&gt;"",ROW($W$7:$W$78)-MIN(ROW($W$7:$W$78))+1,""),""),ROW()-ROW(A$80)+1))),),"")</f>
        <v/>
      </c>
      <c r="AC111" s="1" t="str">
        <f t="array" ref="AC111">IFERROR(CONCATENATE((INDEX($AF$7:$AF$78,SMALL(IF($AF$7:$AF$78&lt;&gt;"",IF($AC$7:$AC$78&lt;&gt;"",ROW($AC$7:$AC$78)-MIN(ROW($AC$7:$AC$78))+1,""),""),ROW()-ROW(A$80)+1))),","),"")</f>
        <v/>
      </c>
      <c r="AD111" s="1" t="str">
        <f t="array" ref="AD111">IFERROR(CONCATENATE(TEXT(INDEX($AC$7:$AC$78,SMALL(IF($AF$7:$AF$78&lt;&gt;"",IF($AC$7:$AC$78&lt;&gt;"",ROW($AC$7:$AC$78)-MIN(ROW($AC$7:$AC$78))+1,""),""),ROW()-ROW(A$80)+1)),"##0"),","),"")</f>
        <v/>
      </c>
      <c r="AE111" s="1" t="str">
        <f t="array" ref="AE111">IFERROR(CONCATENATE((INDEX($A$7:$A$78,SMALL(IF($AF$7:$AF$78&lt;&gt;"",IF($AC$7:$AC$78&lt;&gt;"",ROW($AC$7:$AC$78)-MIN(ROW($AC$7:$AC$78))+1,""),""),ROW()-ROW(A$80)+1))),),"")</f>
        <v/>
      </c>
      <c r="AI111" s="1" t="str">
        <f t="array" ref="AI111">IFERROR(CONCATENATE((INDEX($AL$7:$AL$78,SMALL(IF($AL$7:$AL$78&lt;&gt;"",IF($AI$7:$AI$78&lt;&gt;"",ROW($AI$7:$AI$78)-MIN(ROW($AI$7:$AI$78))+1,""),""),ROW()-ROW(A$80)+1)))," "),"")</f>
        <v/>
      </c>
      <c r="AJ111" s="1" t="str">
        <f t="array" ref="AJ111">IFERROR(CONCATENATE(TEXT(INDEX($AI$7:$AI$78,SMALL(IF($AL$7:$AL$78&lt;&gt;"",IF($AI$7:$AI$78&lt;&gt;"",ROW($AI$7:$AI$78)-MIN(ROW($AI$7:$AI$78))+1,""),""),ROW()-ROW(A$80)+1)),"##0")," "),"")</f>
        <v/>
      </c>
      <c r="AK111" s="1" t="str">
        <f t="array" ref="AK111">IFERROR(CONCATENATE((INDEX($A$7:$A$78,SMALL(IF($AL$7:$AL$78&lt;&gt;"",IF($AI$7:$AI$78&lt;&gt;"",ROW($AI$7:$AI$78)-MIN(ROW($AI$7:$AI$78))+1,""),""),ROW()-ROW(A$80)+1))),),"")</f>
        <v/>
      </c>
    </row>
    <row r="112" spans="11:37" x14ac:dyDescent="0.25">
      <c r="K112" s="1" t="str">
        <f t="array" ref="K112">IFERROR(CONCATENATE(TEXT(INDEX($K$7:$K$78,SMALL(IF($N$7:$N$78&lt;&gt;"",IF($K$7:$K$78&lt;&gt;"",ROW($K$7:$K$78)-MIN(ROW($K$7:$K$78))+1,""),""),ROW()-ROW(A$80)+1)),"##0"),","),"")</f>
        <v/>
      </c>
      <c r="L112" s="1" t="str">
        <f t="array" ref="L112">IFERROR(CONCATENATE((INDEX($N$7:$N$78,SMALL(IF($N$7:$N$78&lt;&gt;"",IF($K$7:$K$78&lt;&gt;"",ROW($K$7:$K$78)-MIN(ROW($K$7:$K$78))+1,""),""),ROW()-ROW(A$80)+1))),","),"")</f>
        <v/>
      </c>
      <c r="M112" s="1" t="str">
        <f t="array" ref="M112">IFERROR(CONCATENATE((INDEX($A$7:$A$78,SMALL(IF($N$7:$N$78&lt;&gt;"",IF($K$7:$K$78&lt;&gt;"",ROW($K$7:$K$78)-MIN(ROW($K$7:$K$78))+1,""),""),ROW()-ROW(A$80)+1))),),"")</f>
        <v/>
      </c>
      <c r="Q112" s="1" t="str">
        <f t="array" ref="Q112">IFERROR(CONCATENATE((INDEX($T$7:$T$78,SMALL(IF($T$7:$T$78&lt;&gt;"",IF($Q$7:$Q$78&lt;&gt;"",ROW($Q$7:$Q$78)-MIN(ROW($Q$7:$Q$78))+1,""),""),ROW()-ROW(A$80)+1)))," "),"")</f>
        <v/>
      </c>
      <c r="R112" s="1" t="str">
        <f t="array" ref="R112">IFERROR(CONCATENATE(TEXT(INDEX($Q$7:$Q$78,SMALL(IF($T$7:$T$78&lt;&gt;"",IF($Q$7:$Q$78&lt;&gt;"",ROW($Q$7:$Q$78)-MIN(ROW($Q$7:$Q$78))+1,""),""),ROW()-ROW(A$80)+1)),"##0")," "),"")</f>
        <v/>
      </c>
      <c r="S112" s="1" t="str">
        <f t="array" ref="S112">IFERROR(CONCATENATE((INDEX($A$7:$A$78,SMALL(IF($T$7:$T$78&lt;&gt;"",IF($Q$7:$Q$78&lt;&gt;"",ROW($Q$7:$Q$78)-MIN(ROW($Q$7:$Q$78))+1,""),""),ROW()-ROW(A$80)+1))),),"")</f>
        <v/>
      </c>
      <c r="W112" s="1" t="str">
        <f t="array" ref="W112">IFERROR(CONCATENATE((INDEX($Z$7:$Z$78,SMALL(IF($Z$7:$Z$78&lt;&gt;"",IF($W$7:$W$78&lt;&gt;"",ROW($W$7:$W$78)-MIN(ROW($W$7:$W$78))+1,""),""),ROW()-ROW(A$80)+1)))," "),"")</f>
        <v/>
      </c>
      <c r="X112" s="1" t="str">
        <f t="array" ref="X112">IFERROR(CONCATENATE(TEXT(INDEX($W$7:$W$78,SMALL(IF($Z$7:$Z$78&lt;&gt;"",IF($W$7:$W$78&lt;&gt;"",ROW($W$7:$W$78)-MIN(ROW($W$7:$W$78))+1,""),""),ROW()-ROW(A$80)+1)),"##0")," "),"")</f>
        <v/>
      </c>
      <c r="Y112" s="1" t="str">
        <f t="array" ref="Y112">IFERROR(CONCATENATE((INDEX($A$7:$A$78,SMALL(IF($Z$7:$Z$78&lt;&gt;"",IF($W$7:$W$78&lt;&gt;"",ROW($W$7:$W$78)-MIN(ROW($W$7:$W$78))+1,""),""),ROW()-ROW(A$80)+1))),),"")</f>
        <v/>
      </c>
      <c r="AC112" s="1" t="str">
        <f t="array" ref="AC112">IFERROR(CONCATENATE((INDEX($AF$7:$AF$78,SMALL(IF($AF$7:$AF$78&lt;&gt;"",IF($AC$7:$AC$78&lt;&gt;"",ROW($AC$7:$AC$78)-MIN(ROW($AC$7:$AC$78))+1,""),""),ROW()-ROW(A$80)+1))),","),"")</f>
        <v/>
      </c>
      <c r="AD112" s="1" t="str">
        <f t="array" ref="AD112">IFERROR(CONCATENATE(TEXT(INDEX($AC$7:$AC$78,SMALL(IF($AF$7:$AF$78&lt;&gt;"",IF($AC$7:$AC$78&lt;&gt;"",ROW($AC$7:$AC$78)-MIN(ROW($AC$7:$AC$78))+1,""),""),ROW()-ROW(A$80)+1)),"##0"),","),"")</f>
        <v/>
      </c>
      <c r="AE112" s="1" t="str">
        <f t="array" ref="AE112">IFERROR(CONCATENATE((INDEX($A$7:$A$78,SMALL(IF($AF$7:$AF$78&lt;&gt;"",IF($AC$7:$AC$78&lt;&gt;"",ROW($AC$7:$AC$78)-MIN(ROW($AC$7:$AC$78))+1,""),""),ROW()-ROW(A$80)+1))),),"")</f>
        <v/>
      </c>
      <c r="AI112" s="1" t="str">
        <f t="array" ref="AI112">IFERROR(CONCATENATE((INDEX($AL$7:$AL$78,SMALL(IF($AL$7:$AL$78&lt;&gt;"",IF($AI$7:$AI$78&lt;&gt;"",ROW($AI$7:$AI$78)-MIN(ROW($AI$7:$AI$78))+1,""),""),ROW()-ROW(A$80)+1)))," "),"")</f>
        <v/>
      </c>
      <c r="AJ112" s="1" t="str">
        <f t="array" ref="AJ112">IFERROR(CONCATENATE(TEXT(INDEX($AI$7:$AI$78,SMALL(IF($AL$7:$AL$78&lt;&gt;"",IF($AI$7:$AI$78&lt;&gt;"",ROW($AI$7:$AI$78)-MIN(ROW($AI$7:$AI$78))+1,""),""),ROW()-ROW(A$80)+1)),"##0")," "),"")</f>
        <v/>
      </c>
      <c r="AK112" s="1" t="str">
        <f t="array" ref="AK112">IFERROR(CONCATENATE((INDEX($A$7:$A$78,SMALL(IF($AL$7:$AL$78&lt;&gt;"",IF($AI$7:$AI$78&lt;&gt;"",ROW($AI$7:$AI$78)-MIN(ROW($AI$7:$AI$78))+1,""),""),ROW()-ROW(A$80)+1))),),"")</f>
        <v/>
      </c>
    </row>
    <row r="113" spans="11:37" x14ac:dyDescent="0.25">
      <c r="K113" s="1" t="str">
        <f t="array" ref="K113">IFERROR(CONCATENATE(TEXT(INDEX($K$7:$K$78,SMALL(IF($N$7:$N$78&lt;&gt;"",IF($K$7:$K$78&lt;&gt;"",ROW($K$7:$K$78)-MIN(ROW($K$7:$K$78))+1,""),""),ROW()-ROW(A$80)+1)),"##0"),","),"")</f>
        <v/>
      </c>
      <c r="L113" s="1" t="str">
        <f t="array" ref="L113">IFERROR(CONCATENATE((INDEX($N$7:$N$78,SMALL(IF($N$7:$N$78&lt;&gt;"",IF($K$7:$K$78&lt;&gt;"",ROW($K$7:$K$78)-MIN(ROW($K$7:$K$78))+1,""),""),ROW()-ROW(A$80)+1))),","),"")</f>
        <v/>
      </c>
      <c r="M113" s="1" t="str">
        <f t="array" ref="M113">IFERROR(CONCATENATE((INDEX($A$7:$A$78,SMALL(IF($N$7:$N$78&lt;&gt;"",IF($K$7:$K$78&lt;&gt;"",ROW($K$7:$K$78)-MIN(ROW($K$7:$K$78))+1,""),""),ROW()-ROW(A$80)+1))),),"")</f>
        <v/>
      </c>
      <c r="Q113" s="1" t="str">
        <f t="array" ref="Q113">IFERROR(CONCATENATE((INDEX($T$7:$T$78,SMALL(IF($T$7:$T$78&lt;&gt;"",IF($Q$7:$Q$78&lt;&gt;"",ROW($Q$7:$Q$78)-MIN(ROW($Q$7:$Q$78))+1,""),""),ROW()-ROW(A$80)+1)))," "),"")</f>
        <v/>
      </c>
      <c r="R113" s="1" t="str">
        <f t="array" ref="R113">IFERROR(CONCATENATE(TEXT(INDEX($Q$7:$Q$78,SMALL(IF($T$7:$T$78&lt;&gt;"",IF($Q$7:$Q$78&lt;&gt;"",ROW($Q$7:$Q$78)-MIN(ROW($Q$7:$Q$78))+1,""),""),ROW()-ROW(A$80)+1)),"##0")," "),"")</f>
        <v/>
      </c>
      <c r="S113" s="1" t="str">
        <f t="array" ref="S113">IFERROR(CONCATENATE((INDEX($A$7:$A$78,SMALL(IF($T$7:$T$78&lt;&gt;"",IF($Q$7:$Q$78&lt;&gt;"",ROW($Q$7:$Q$78)-MIN(ROW($Q$7:$Q$78))+1,""),""),ROW()-ROW(A$80)+1))),),"")</f>
        <v/>
      </c>
      <c r="W113" s="1" t="str">
        <f t="array" ref="W113">IFERROR(CONCATENATE((INDEX($Z$7:$Z$78,SMALL(IF($Z$7:$Z$78&lt;&gt;"",IF($W$7:$W$78&lt;&gt;"",ROW($W$7:$W$78)-MIN(ROW($W$7:$W$78))+1,""),""),ROW()-ROW(A$80)+1)))," "),"")</f>
        <v/>
      </c>
      <c r="X113" s="1" t="str">
        <f t="array" ref="X113">IFERROR(CONCATENATE(TEXT(INDEX($W$7:$W$78,SMALL(IF($Z$7:$Z$78&lt;&gt;"",IF($W$7:$W$78&lt;&gt;"",ROW($W$7:$W$78)-MIN(ROW($W$7:$W$78))+1,""),""),ROW()-ROW(A$80)+1)),"##0")," "),"")</f>
        <v/>
      </c>
      <c r="Y113" s="1" t="str">
        <f t="array" ref="Y113">IFERROR(CONCATENATE((INDEX($A$7:$A$78,SMALL(IF($Z$7:$Z$78&lt;&gt;"",IF($W$7:$W$78&lt;&gt;"",ROW($W$7:$W$78)-MIN(ROW($W$7:$W$78))+1,""),""),ROW()-ROW(A$80)+1))),),"")</f>
        <v/>
      </c>
      <c r="AC113" s="1" t="str">
        <f t="array" ref="AC113">IFERROR(CONCATENATE((INDEX($AF$7:$AF$78,SMALL(IF($AF$7:$AF$78&lt;&gt;"",IF($AC$7:$AC$78&lt;&gt;"",ROW($AC$7:$AC$78)-MIN(ROW($AC$7:$AC$78))+1,""),""),ROW()-ROW(A$80)+1))),","),"")</f>
        <v/>
      </c>
      <c r="AD113" s="1" t="str">
        <f t="array" ref="AD113">IFERROR(CONCATENATE(TEXT(INDEX($AC$7:$AC$78,SMALL(IF($AF$7:$AF$78&lt;&gt;"",IF($AC$7:$AC$78&lt;&gt;"",ROW($AC$7:$AC$78)-MIN(ROW($AC$7:$AC$78))+1,""),""),ROW()-ROW(A$80)+1)),"##0"),","),"")</f>
        <v/>
      </c>
      <c r="AE113" s="1" t="str">
        <f t="array" ref="AE113">IFERROR(CONCATENATE((INDEX($A$7:$A$78,SMALL(IF($AF$7:$AF$78&lt;&gt;"",IF($AC$7:$AC$78&lt;&gt;"",ROW($AC$7:$AC$78)-MIN(ROW($AC$7:$AC$78))+1,""),""),ROW()-ROW(A$80)+1))),),"")</f>
        <v/>
      </c>
      <c r="AI113" s="1" t="str">
        <f t="array" ref="AI113">IFERROR(CONCATENATE((INDEX($AL$7:$AL$78,SMALL(IF($AL$7:$AL$78&lt;&gt;"",IF($AI$7:$AI$78&lt;&gt;"",ROW($AI$7:$AI$78)-MIN(ROW($AI$7:$AI$78))+1,""),""),ROW()-ROW(A$80)+1)))," "),"")</f>
        <v/>
      </c>
      <c r="AJ113" s="1" t="str">
        <f t="array" ref="AJ113">IFERROR(CONCATENATE(TEXT(INDEX($AI$7:$AI$78,SMALL(IF($AL$7:$AL$78&lt;&gt;"",IF($AI$7:$AI$78&lt;&gt;"",ROW($AI$7:$AI$78)-MIN(ROW($AI$7:$AI$78))+1,""),""),ROW()-ROW(A$80)+1)),"##0")," "),"")</f>
        <v/>
      </c>
      <c r="AK113" s="1" t="str">
        <f t="array" ref="AK113">IFERROR(CONCATENATE((INDEX($A$7:$A$78,SMALL(IF($AL$7:$AL$78&lt;&gt;"",IF($AI$7:$AI$78&lt;&gt;"",ROW($AI$7:$AI$78)-MIN(ROW($AI$7:$AI$78))+1,""),""),ROW()-ROW(A$80)+1))),),"")</f>
        <v/>
      </c>
    </row>
    <row r="114" spans="11:37" x14ac:dyDescent="0.25">
      <c r="K114" s="1" t="str">
        <f t="array" ref="K114">IFERROR(CONCATENATE(TEXT(INDEX($K$7:$K$78,SMALL(IF($N$7:$N$78&lt;&gt;"",IF($K$7:$K$78&lt;&gt;"",ROW($K$7:$K$78)-MIN(ROW($K$7:$K$78))+1,""),""),ROW()-ROW(A$80)+1)),"##0"),","),"")</f>
        <v/>
      </c>
      <c r="L114" s="1" t="str">
        <f t="array" ref="L114">IFERROR(CONCATENATE((INDEX($N$7:$N$78,SMALL(IF($N$7:$N$78&lt;&gt;"",IF($K$7:$K$78&lt;&gt;"",ROW($K$7:$K$78)-MIN(ROW($K$7:$K$78))+1,""),""),ROW()-ROW(A$80)+1))),","),"")</f>
        <v/>
      </c>
      <c r="M114" s="1" t="str">
        <f t="array" ref="M114">IFERROR(CONCATENATE((INDEX($A$7:$A$78,SMALL(IF($N$7:$N$78&lt;&gt;"",IF($K$7:$K$78&lt;&gt;"",ROW($K$7:$K$78)-MIN(ROW($K$7:$K$78))+1,""),""),ROW()-ROW(A$80)+1))),),"")</f>
        <v/>
      </c>
      <c r="Q114" s="1" t="str">
        <f t="array" ref="Q114">IFERROR(CONCATENATE((INDEX($T$7:$T$78,SMALL(IF($T$7:$T$78&lt;&gt;"",IF($Q$7:$Q$78&lt;&gt;"",ROW($Q$7:$Q$78)-MIN(ROW($Q$7:$Q$78))+1,""),""),ROW()-ROW(A$80)+1)))," "),"")</f>
        <v/>
      </c>
      <c r="R114" s="1" t="str">
        <f t="array" ref="R114">IFERROR(CONCATENATE(TEXT(INDEX($Q$7:$Q$78,SMALL(IF($T$7:$T$78&lt;&gt;"",IF($Q$7:$Q$78&lt;&gt;"",ROW($Q$7:$Q$78)-MIN(ROW($Q$7:$Q$78))+1,""),""),ROW()-ROW(A$80)+1)),"##0")," "),"")</f>
        <v/>
      </c>
      <c r="S114" s="1" t="str">
        <f t="array" ref="S114">IFERROR(CONCATENATE((INDEX($A$7:$A$78,SMALL(IF($T$7:$T$78&lt;&gt;"",IF($Q$7:$Q$78&lt;&gt;"",ROW($Q$7:$Q$78)-MIN(ROW($Q$7:$Q$78))+1,""),""),ROW()-ROW(A$80)+1))),),"")</f>
        <v/>
      </c>
      <c r="W114" s="1" t="str">
        <f t="array" ref="W114">IFERROR(CONCATENATE((INDEX($Z$7:$Z$78,SMALL(IF($Z$7:$Z$78&lt;&gt;"",IF($W$7:$W$78&lt;&gt;"",ROW($W$7:$W$78)-MIN(ROW($W$7:$W$78))+1,""),""),ROW()-ROW(A$80)+1)))," "),"")</f>
        <v/>
      </c>
      <c r="X114" s="1" t="str">
        <f t="array" ref="X114">IFERROR(CONCATENATE(TEXT(INDEX($W$7:$W$78,SMALL(IF($Z$7:$Z$78&lt;&gt;"",IF($W$7:$W$78&lt;&gt;"",ROW($W$7:$W$78)-MIN(ROW($W$7:$W$78))+1,""),""),ROW()-ROW(A$80)+1)),"##0")," "),"")</f>
        <v/>
      </c>
      <c r="Y114" s="1" t="str">
        <f t="array" ref="Y114">IFERROR(CONCATENATE((INDEX($A$7:$A$78,SMALL(IF($Z$7:$Z$78&lt;&gt;"",IF($W$7:$W$78&lt;&gt;"",ROW($W$7:$W$78)-MIN(ROW($W$7:$W$78))+1,""),""),ROW()-ROW(A$80)+1))),),"")</f>
        <v/>
      </c>
      <c r="AC114" s="1" t="str">
        <f t="array" ref="AC114">IFERROR(CONCATENATE((INDEX($AF$7:$AF$78,SMALL(IF($AF$7:$AF$78&lt;&gt;"",IF($AC$7:$AC$78&lt;&gt;"",ROW($AC$7:$AC$78)-MIN(ROW($AC$7:$AC$78))+1,""),""),ROW()-ROW(A$80)+1))),","),"")</f>
        <v/>
      </c>
      <c r="AD114" s="1" t="str">
        <f t="array" ref="AD114">IFERROR(CONCATENATE(TEXT(INDEX($AC$7:$AC$78,SMALL(IF($AF$7:$AF$78&lt;&gt;"",IF($AC$7:$AC$78&lt;&gt;"",ROW($AC$7:$AC$78)-MIN(ROW($AC$7:$AC$78))+1,""),""),ROW()-ROW(A$80)+1)),"##0"),","),"")</f>
        <v/>
      </c>
      <c r="AE114" s="1" t="str">
        <f t="array" ref="AE114">IFERROR(CONCATENATE((INDEX($A$7:$A$78,SMALL(IF($AF$7:$AF$78&lt;&gt;"",IF($AC$7:$AC$78&lt;&gt;"",ROW($AC$7:$AC$78)-MIN(ROW($AC$7:$AC$78))+1,""),""),ROW()-ROW(A$80)+1))),),"")</f>
        <v/>
      </c>
      <c r="AI114" s="1" t="str">
        <f t="array" ref="AI114">IFERROR(CONCATENATE((INDEX($AL$7:$AL$78,SMALL(IF($AL$7:$AL$78&lt;&gt;"",IF($AI$7:$AI$78&lt;&gt;"",ROW($AI$7:$AI$78)-MIN(ROW($AI$7:$AI$78))+1,""),""),ROW()-ROW(A$80)+1)))," "),"")</f>
        <v/>
      </c>
      <c r="AJ114" s="1" t="str">
        <f t="array" ref="AJ114">IFERROR(CONCATENATE(TEXT(INDEX($AI$7:$AI$78,SMALL(IF($AL$7:$AL$78&lt;&gt;"",IF($AI$7:$AI$78&lt;&gt;"",ROW($AI$7:$AI$78)-MIN(ROW($AI$7:$AI$78))+1,""),""),ROW()-ROW(A$80)+1)),"##0")," "),"")</f>
        <v/>
      </c>
      <c r="AK114" s="1" t="str">
        <f t="array" ref="AK114">IFERROR(CONCATENATE((INDEX($A$7:$A$78,SMALL(IF($AL$7:$AL$78&lt;&gt;"",IF($AI$7:$AI$78&lt;&gt;"",ROW($AI$7:$AI$78)-MIN(ROW($AI$7:$AI$78))+1,""),""),ROW()-ROW(A$80)+1))),),"")</f>
        <v/>
      </c>
    </row>
    <row r="115" spans="11:37" x14ac:dyDescent="0.25">
      <c r="K115" s="1" t="str">
        <f t="array" ref="K115">IFERROR(CONCATENATE(TEXT(INDEX($K$7:$K$78,SMALL(IF($N$7:$N$78&lt;&gt;"",IF($K$7:$K$78&lt;&gt;"",ROW($K$7:$K$78)-MIN(ROW($K$7:$K$78))+1,""),""),ROW()-ROW(A$80)+1)),"##0"),","),"")</f>
        <v/>
      </c>
      <c r="L115" s="1" t="str">
        <f t="array" ref="L115">IFERROR(CONCATENATE((INDEX($N$7:$N$78,SMALL(IF($N$7:$N$78&lt;&gt;"",IF($K$7:$K$78&lt;&gt;"",ROW($K$7:$K$78)-MIN(ROW($K$7:$K$78))+1,""),""),ROW()-ROW(A$80)+1))),","),"")</f>
        <v/>
      </c>
      <c r="M115" s="1" t="str">
        <f t="array" ref="M115">IFERROR(CONCATENATE((INDEX($A$7:$A$78,SMALL(IF($N$7:$N$78&lt;&gt;"",IF($K$7:$K$78&lt;&gt;"",ROW($K$7:$K$78)-MIN(ROW($K$7:$K$78))+1,""),""),ROW()-ROW(A$80)+1))),),"")</f>
        <v/>
      </c>
      <c r="Q115" s="1" t="str">
        <f t="array" ref="Q115">IFERROR(CONCATENATE((INDEX($T$7:$T$78,SMALL(IF($T$7:$T$78&lt;&gt;"",IF($Q$7:$Q$78&lt;&gt;"",ROW($Q$7:$Q$78)-MIN(ROW($Q$7:$Q$78))+1,""),""),ROW()-ROW(A$80)+1)))," "),"")</f>
        <v/>
      </c>
      <c r="R115" s="1" t="str">
        <f t="array" ref="R115">IFERROR(CONCATENATE(TEXT(INDEX($Q$7:$Q$78,SMALL(IF($T$7:$T$78&lt;&gt;"",IF($Q$7:$Q$78&lt;&gt;"",ROW($Q$7:$Q$78)-MIN(ROW($Q$7:$Q$78))+1,""),""),ROW()-ROW(A$80)+1)),"##0")," "),"")</f>
        <v/>
      </c>
      <c r="S115" s="1" t="str">
        <f t="array" ref="S115">IFERROR(CONCATENATE((INDEX($A$7:$A$78,SMALL(IF($T$7:$T$78&lt;&gt;"",IF($Q$7:$Q$78&lt;&gt;"",ROW($Q$7:$Q$78)-MIN(ROW($Q$7:$Q$78))+1,""),""),ROW()-ROW(A$80)+1))),),"")</f>
        <v/>
      </c>
      <c r="W115" s="1" t="str">
        <f t="array" ref="W115">IFERROR(CONCATENATE((INDEX($Z$7:$Z$78,SMALL(IF($Z$7:$Z$78&lt;&gt;"",IF($W$7:$W$78&lt;&gt;"",ROW($W$7:$W$78)-MIN(ROW($W$7:$W$78))+1,""),""),ROW()-ROW(A$80)+1)))," "),"")</f>
        <v/>
      </c>
      <c r="X115" s="1" t="str">
        <f t="array" ref="X115">IFERROR(CONCATENATE(TEXT(INDEX($W$7:$W$78,SMALL(IF($Z$7:$Z$78&lt;&gt;"",IF($W$7:$W$78&lt;&gt;"",ROW($W$7:$W$78)-MIN(ROW($W$7:$W$78))+1,""),""),ROW()-ROW(A$80)+1)),"##0")," "),"")</f>
        <v/>
      </c>
      <c r="Y115" s="1" t="str">
        <f t="array" ref="Y115">IFERROR(CONCATENATE((INDEX($A$7:$A$78,SMALL(IF($Z$7:$Z$78&lt;&gt;"",IF($W$7:$W$78&lt;&gt;"",ROW($W$7:$W$78)-MIN(ROW($W$7:$W$78))+1,""),""),ROW()-ROW(A$80)+1))),),"")</f>
        <v/>
      </c>
      <c r="AC115" s="1" t="str">
        <f t="array" ref="AC115">IFERROR(CONCATENATE((INDEX($AF$7:$AF$78,SMALL(IF($AF$7:$AF$78&lt;&gt;"",IF($AC$7:$AC$78&lt;&gt;"",ROW($AC$7:$AC$78)-MIN(ROW($AC$7:$AC$78))+1,""),""),ROW()-ROW(A$80)+1))),","),"")</f>
        <v/>
      </c>
      <c r="AD115" s="1" t="str">
        <f t="array" ref="AD115">IFERROR(CONCATENATE(TEXT(INDEX($AC$7:$AC$78,SMALL(IF($AF$7:$AF$78&lt;&gt;"",IF($AC$7:$AC$78&lt;&gt;"",ROW($AC$7:$AC$78)-MIN(ROW($AC$7:$AC$78))+1,""),""),ROW()-ROW(A$80)+1)),"##0"),","),"")</f>
        <v/>
      </c>
      <c r="AE115" s="1" t="str">
        <f t="array" ref="AE115">IFERROR(CONCATENATE((INDEX($A$7:$A$78,SMALL(IF($AF$7:$AF$78&lt;&gt;"",IF($AC$7:$AC$78&lt;&gt;"",ROW($AC$7:$AC$78)-MIN(ROW($AC$7:$AC$78))+1,""),""),ROW()-ROW(A$80)+1))),),"")</f>
        <v/>
      </c>
      <c r="AI115" s="1" t="str">
        <f t="array" ref="AI115">IFERROR(CONCATENATE((INDEX($AL$7:$AL$78,SMALL(IF($AL$7:$AL$78&lt;&gt;"",IF($AI$7:$AI$78&lt;&gt;"",ROW($AI$7:$AI$78)-MIN(ROW($AI$7:$AI$78))+1,""),""),ROW()-ROW(A$80)+1)))," "),"")</f>
        <v/>
      </c>
      <c r="AJ115" s="1" t="str">
        <f t="array" ref="AJ115">IFERROR(CONCATENATE(TEXT(INDEX($AI$7:$AI$78,SMALL(IF($AL$7:$AL$78&lt;&gt;"",IF($AI$7:$AI$78&lt;&gt;"",ROW($AI$7:$AI$78)-MIN(ROW($AI$7:$AI$78))+1,""),""),ROW()-ROW(A$80)+1)),"##0")," "),"")</f>
        <v/>
      </c>
      <c r="AK115" s="1" t="str">
        <f t="array" ref="AK115">IFERROR(CONCATENATE((INDEX($A$7:$A$78,SMALL(IF($AL$7:$AL$78&lt;&gt;"",IF($AI$7:$AI$78&lt;&gt;"",ROW($AI$7:$AI$78)-MIN(ROW($AI$7:$AI$78))+1,""),""),ROW()-ROW(A$80)+1))),),"")</f>
        <v/>
      </c>
    </row>
    <row r="116" spans="11:37" x14ac:dyDescent="0.25">
      <c r="K116" s="1" t="str">
        <f t="array" ref="K116">IFERROR(CONCATENATE(TEXT(INDEX($K$7:$K$78,SMALL(IF($N$7:$N$78&lt;&gt;"",IF($K$7:$K$78&lt;&gt;"",ROW($K$7:$K$78)-MIN(ROW($K$7:$K$78))+1,""),""),ROW()-ROW(A$80)+1)),"##0"),","),"")</f>
        <v/>
      </c>
      <c r="L116" s="1" t="str">
        <f t="array" ref="L116">IFERROR(CONCATENATE((INDEX($N$7:$N$78,SMALL(IF($N$7:$N$78&lt;&gt;"",IF($K$7:$K$78&lt;&gt;"",ROW($K$7:$K$78)-MIN(ROW($K$7:$K$78))+1,""),""),ROW()-ROW(A$80)+1))),","),"")</f>
        <v/>
      </c>
      <c r="M116" s="1" t="str">
        <f t="array" ref="M116">IFERROR(CONCATENATE((INDEX($A$7:$A$78,SMALL(IF($N$7:$N$78&lt;&gt;"",IF($K$7:$K$78&lt;&gt;"",ROW($K$7:$K$78)-MIN(ROW($K$7:$K$78))+1,""),""),ROW()-ROW(A$80)+1))),),"")</f>
        <v/>
      </c>
      <c r="Q116" s="1" t="str">
        <f t="array" ref="Q116">IFERROR(CONCATENATE((INDEX($T$7:$T$78,SMALL(IF($T$7:$T$78&lt;&gt;"",IF($Q$7:$Q$78&lt;&gt;"",ROW($Q$7:$Q$78)-MIN(ROW($Q$7:$Q$78))+1,""),""),ROW()-ROW(A$80)+1)))," "),"")</f>
        <v/>
      </c>
      <c r="R116" s="1" t="str">
        <f t="array" ref="R116">IFERROR(CONCATENATE(TEXT(INDEX($Q$7:$Q$78,SMALL(IF($T$7:$T$78&lt;&gt;"",IF($Q$7:$Q$78&lt;&gt;"",ROW($Q$7:$Q$78)-MIN(ROW($Q$7:$Q$78))+1,""),""),ROW()-ROW(A$80)+1)),"##0")," "),"")</f>
        <v/>
      </c>
      <c r="S116" s="1" t="str">
        <f t="array" ref="S116">IFERROR(CONCATENATE((INDEX($A$7:$A$78,SMALL(IF($T$7:$T$78&lt;&gt;"",IF($Q$7:$Q$78&lt;&gt;"",ROW($Q$7:$Q$78)-MIN(ROW($Q$7:$Q$78))+1,""),""),ROW()-ROW(A$80)+1))),),"")</f>
        <v/>
      </c>
      <c r="W116" s="1" t="str">
        <f t="array" ref="W116">IFERROR(CONCATENATE((INDEX($Z$7:$Z$78,SMALL(IF($Z$7:$Z$78&lt;&gt;"",IF($W$7:$W$78&lt;&gt;"",ROW($W$7:$W$78)-MIN(ROW($W$7:$W$78))+1,""),""),ROW()-ROW(A$80)+1)))," "),"")</f>
        <v/>
      </c>
      <c r="X116" s="1" t="str">
        <f t="array" ref="X116">IFERROR(CONCATENATE(TEXT(INDEX($W$7:$W$78,SMALL(IF($Z$7:$Z$78&lt;&gt;"",IF($W$7:$W$78&lt;&gt;"",ROW($W$7:$W$78)-MIN(ROW($W$7:$W$78))+1,""),""),ROW()-ROW(A$80)+1)),"##0")," "),"")</f>
        <v/>
      </c>
      <c r="Y116" s="1" t="str">
        <f t="array" ref="Y116">IFERROR(CONCATENATE((INDEX($A$7:$A$78,SMALL(IF($Z$7:$Z$78&lt;&gt;"",IF($W$7:$W$78&lt;&gt;"",ROW($W$7:$W$78)-MIN(ROW($W$7:$W$78))+1,""),""),ROW()-ROW(A$80)+1))),),"")</f>
        <v/>
      </c>
      <c r="AC116" s="1" t="str">
        <f t="array" ref="AC116">IFERROR(CONCATENATE((INDEX($AF$7:$AF$78,SMALL(IF($AF$7:$AF$78&lt;&gt;"",IF($AC$7:$AC$78&lt;&gt;"",ROW($AC$7:$AC$78)-MIN(ROW($AC$7:$AC$78))+1,""),""),ROW()-ROW(A$80)+1))),","),"")</f>
        <v/>
      </c>
      <c r="AD116" s="1" t="str">
        <f t="array" ref="AD116">IFERROR(CONCATENATE(TEXT(INDEX($AC$7:$AC$78,SMALL(IF($AF$7:$AF$78&lt;&gt;"",IF($AC$7:$AC$78&lt;&gt;"",ROW($AC$7:$AC$78)-MIN(ROW($AC$7:$AC$78))+1,""),""),ROW()-ROW(A$80)+1)),"##0"),","),"")</f>
        <v/>
      </c>
      <c r="AE116" s="1" t="str">
        <f t="array" ref="AE116">IFERROR(CONCATENATE((INDEX($A$7:$A$78,SMALL(IF($AF$7:$AF$78&lt;&gt;"",IF($AC$7:$AC$78&lt;&gt;"",ROW($AC$7:$AC$78)-MIN(ROW($AC$7:$AC$78))+1,""),""),ROW()-ROW(A$80)+1))),),"")</f>
        <v/>
      </c>
      <c r="AI116" s="1" t="str">
        <f t="array" ref="AI116">IFERROR(CONCATENATE((INDEX($AL$7:$AL$78,SMALL(IF($AL$7:$AL$78&lt;&gt;"",IF($AI$7:$AI$78&lt;&gt;"",ROW($AI$7:$AI$78)-MIN(ROW($AI$7:$AI$78))+1,""),""),ROW()-ROW(A$80)+1)))," "),"")</f>
        <v/>
      </c>
      <c r="AJ116" s="1" t="str">
        <f t="array" ref="AJ116">IFERROR(CONCATENATE(TEXT(INDEX($AI$7:$AI$78,SMALL(IF($AL$7:$AL$78&lt;&gt;"",IF($AI$7:$AI$78&lt;&gt;"",ROW($AI$7:$AI$78)-MIN(ROW($AI$7:$AI$78))+1,""),""),ROW()-ROW(A$80)+1)),"##0")," "),"")</f>
        <v/>
      </c>
      <c r="AK116" s="1" t="str">
        <f t="array" ref="AK116">IFERROR(CONCATENATE((INDEX($A$7:$A$78,SMALL(IF($AL$7:$AL$78&lt;&gt;"",IF($AI$7:$AI$78&lt;&gt;"",ROW($AI$7:$AI$78)-MIN(ROW($AI$7:$AI$78))+1,""),""),ROW()-ROW(A$80)+1))),),"")</f>
        <v/>
      </c>
    </row>
    <row r="117" spans="11:37" x14ac:dyDescent="0.25">
      <c r="K117" s="1" t="str">
        <f t="array" ref="K117">IFERROR(CONCATENATE(TEXT(INDEX($K$7:$K$78,SMALL(IF($N$7:$N$78&lt;&gt;"",IF($K$7:$K$78&lt;&gt;"",ROW($K$7:$K$78)-MIN(ROW($K$7:$K$78))+1,""),""),ROW()-ROW(A$80)+1)),"##0"),","),"")</f>
        <v/>
      </c>
      <c r="L117" s="1" t="str">
        <f t="array" ref="L117">IFERROR(CONCATENATE((INDEX($N$7:$N$78,SMALL(IF($N$7:$N$78&lt;&gt;"",IF($K$7:$K$78&lt;&gt;"",ROW($K$7:$K$78)-MIN(ROW($K$7:$K$78))+1,""),""),ROW()-ROW(A$80)+1))),","),"")</f>
        <v/>
      </c>
      <c r="M117" s="1" t="str">
        <f t="array" ref="M117">IFERROR(CONCATENATE((INDEX($A$7:$A$78,SMALL(IF($N$7:$N$78&lt;&gt;"",IF($K$7:$K$78&lt;&gt;"",ROW($K$7:$K$78)-MIN(ROW($K$7:$K$78))+1,""),""),ROW()-ROW(A$80)+1))),),"")</f>
        <v/>
      </c>
      <c r="Q117" s="1" t="str">
        <f t="array" ref="Q117">IFERROR(CONCATENATE((INDEX($T$7:$T$78,SMALL(IF($T$7:$T$78&lt;&gt;"",IF($Q$7:$Q$78&lt;&gt;"",ROW($Q$7:$Q$78)-MIN(ROW($Q$7:$Q$78))+1,""),""),ROW()-ROW(A$80)+1)))," "),"")</f>
        <v/>
      </c>
      <c r="R117" s="1" t="str">
        <f t="array" ref="R117">IFERROR(CONCATENATE(TEXT(INDEX($Q$7:$Q$78,SMALL(IF($T$7:$T$78&lt;&gt;"",IF($Q$7:$Q$78&lt;&gt;"",ROW($Q$7:$Q$78)-MIN(ROW($Q$7:$Q$78))+1,""),""),ROW()-ROW(A$80)+1)),"##0")," "),"")</f>
        <v/>
      </c>
      <c r="S117" s="1" t="str">
        <f t="array" ref="S117">IFERROR(CONCATENATE((INDEX($A$7:$A$78,SMALL(IF($T$7:$T$78&lt;&gt;"",IF($Q$7:$Q$78&lt;&gt;"",ROW($Q$7:$Q$78)-MIN(ROW($Q$7:$Q$78))+1,""),""),ROW()-ROW(A$80)+1))),),"")</f>
        <v/>
      </c>
      <c r="W117" s="1" t="str">
        <f t="array" ref="W117">IFERROR(CONCATENATE((INDEX($Z$7:$Z$78,SMALL(IF($Z$7:$Z$78&lt;&gt;"",IF($W$7:$W$78&lt;&gt;"",ROW($W$7:$W$78)-MIN(ROW($W$7:$W$78))+1,""),""),ROW()-ROW(A$80)+1)))," "),"")</f>
        <v/>
      </c>
      <c r="X117" s="1" t="str">
        <f t="array" ref="X117">IFERROR(CONCATENATE(TEXT(INDEX($W$7:$W$78,SMALL(IF($Z$7:$Z$78&lt;&gt;"",IF($W$7:$W$78&lt;&gt;"",ROW($W$7:$W$78)-MIN(ROW($W$7:$W$78))+1,""),""),ROW()-ROW(A$80)+1)),"##0")," "),"")</f>
        <v/>
      </c>
      <c r="Y117" s="1" t="str">
        <f t="array" ref="Y117">IFERROR(CONCATENATE((INDEX($A$7:$A$78,SMALL(IF($Z$7:$Z$78&lt;&gt;"",IF($W$7:$W$78&lt;&gt;"",ROW($W$7:$W$78)-MIN(ROW($W$7:$W$78))+1,""),""),ROW()-ROW(A$80)+1))),),"")</f>
        <v/>
      </c>
      <c r="AC117" s="1" t="str">
        <f t="array" ref="AC117">IFERROR(CONCATENATE((INDEX($AF$7:$AF$78,SMALL(IF($AF$7:$AF$78&lt;&gt;"",IF($AC$7:$AC$78&lt;&gt;"",ROW($AC$7:$AC$78)-MIN(ROW($AC$7:$AC$78))+1,""),""),ROW()-ROW(A$80)+1))),","),"")</f>
        <v/>
      </c>
      <c r="AD117" s="1" t="str">
        <f t="array" ref="AD117">IFERROR(CONCATENATE(TEXT(INDEX($AC$7:$AC$78,SMALL(IF($AF$7:$AF$78&lt;&gt;"",IF($AC$7:$AC$78&lt;&gt;"",ROW($AC$7:$AC$78)-MIN(ROW($AC$7:$AC$78))+1,""),""),ROW()-ROW(A$80)+1)),"##0"),","),"")</f>
        <v/>
      </c>
      <c r="AE117" s="1" t="str">
        <f t="array" ref="AE117">IFERROR(CONCATENATE((INDEX($A$7:$A$78,SMALL(IF($AF$7:$AF$78&lt;&gt;"",IF($AC$7:$AC$78&lt;&gt;"",ROW($AC$7:$AC$78)-MIN(ROW($AC$7:$AC$78))+1,""),""),ROW()-ROW(A$80)+1))),),"")</f>
        <v/>
      </c>
      <c r="AI117" s="1" t="str">
        <f t="array" ref="AI117">IFERROR(CONCATENATE((INDEX($AL$7:$AL$78,SMALL(IF($AL$7:$AL$78&lt;&gt;"",IF($AI$7:$AI$78&lt;&gt;"",ROW($AI$7:$AI$78)-MIN(ROW($AI$7:$AI$78))+1,""),""),ROW()-ROW(A$80)+1)))," "),"")</f>
        <v/>
      </c>
      <c r="AJ117" s="1" t="str">
        <f t="array" ref="AJ117">IFERROR(CONCATENATE(TEXT(INDEX($AI$7:$AI$78,SMALL(IF($AL$7:$AL$78&lt;&gt;"",IF($AI$7:$AI$78&lt;&gt;"",ROW($AI$7:$AI$78)-MIN(ROW($AI$7:$AI$78))+1,""),""),ROW()-ROW(A$80)+1)),"##0")," "),"")</f>
        <v/>
      </c>
      <c r="AK117" s="1" t="str">
        <f t="array" ref="AK117">IFERROR(CONCATENATE((INDEX($A$7:$A$78,SMALL(IF($AL$7:$AL$78&lt;&gt;"",IF($AI$7:$AI$78&lt;&gt;"",ROW($AI$7:$AI$78)-MIN(ROW($AI$7:$AI$78))+1,""),""),ROW()-ROW(A$80)+1))),),"")</f>
        <v/>
      </c>
    </row>
    <row r="118" spans="11:37" x14ac:dyDescent="0.25">
      <c r="K118" s="1" t="str">
        <f t="array" ref="K118">IFERROR(CONCATENATE(TEXT(INDEX($K$7:$K$78,SMALL(IF($N$7:$N$78&lt;&gt;"",IF($K$7:$K$78&lt;&gt;"",ROW($K$7:$K$78)-MIN(ROW($K$7:$K$78))+1,""),""),ROW()-ROW(A$80)+1)),"##0"),","),"")</f>
        <v/>
      </c>
      <c r="L118" s="1" t="str">
        <f t="array" ref="L118">IFERROR(CONCATENATE((INDEX($N$7:$N$78,SMALL(IF($N$7:$N$78&lt;&gt;"",IF($K$7:$K$78&lt;&gt;"",ROW($K$7:$K$78)-MIN(ROW($K$7:$K$78))+1,""),""),ROW()-ROW(A$80)+1))),","),"")</f>
        <v/>
      </c>
      <c r="M118" s="1" t="str">
        <f t="array" ref="M118">IFERROR(CONCATENATE((INDEX($A$7:$A$78,SMALL(IF($N$7:$N$78&lt;&gt;"",IF($K$7:$K$78&lt;&gt;"",ROW($K$7:$K$78)-MIN(ROW($K$7:$K$78))+1,""),""),ROW()-ROW(A$80)+1))),),"")</f>
        <v/>
      </c>
      <c r="Q118" s="1" t="str">
        <f t="array" ref="Q118">IFERROR(CONCATENATE((INDEX($T$7:$T$78,SMALL(IF($T$7:$T$78&lt;&gt;"",IF($Q$7:$Q$78&lt;&gt;"",ROW($Q$7:$Q$78)-MIN(ROW($Q$7:$Q$78))+1,""),""),ROW()-ROW(A$80)+1)))," "),"")</f>
        <v/>
      </c>
      <c r="R118" s="1" t="str">
        <f t="array" ref="R118">IFERROR(CONCATENATE(TEXT(INDEX($Q$7:$Q$78,SMALL(IF($T$7:$T$78&lt;&gt;"",IF($Q$7:$Q$78&lt;&gt;"",ROW($Q$7:$Q$78)-MIN(ROW($Q$7:$Q$78))+1,""),""),ROW()-ROW(A$80)+1)),"##0")," "),"")</f>
        <v/>
      </c>
      <c r="S118" s="1" t="str">
        <f t="array" ref="S118">IFERROR(CONCATENATE((INDEX($A$7:$A$78,SMALL(IF($T$7:$T$78&lt;&gt;"",IF($Q$7:$Q$78&lt;&gt;"",ROW($Q$7:$Q$78)-MIN(ROW($Q$7:$Q$78))+1,""),""),ROW()-ROW(A$80)+1))),),"")</f>
        <v/>
      </c>
      <c r="W118" s="1" t="str">
        <f t="array" ref="W118">IFERROR(CONCATENATE((INDEX($Z$7:$Z$78,SMALL(IF($Z$7:$Z$78&lt;&gt;"",IF($W$7:$W$78&lt;&gt;"",ROW($W$7:$W$78)-MIN(ROW($W$7:$W$78))+1,""),""),ROW()-ROW(A$80)+1)))," "),"")</f>
        <v/>
      </c>
      <c r="X118" s="1" t="str">
        <f t="array" ref="X118">IFERROR(CONCATENATE(TEXT(INDEX($W$7:$W$78,SMALL(IF($Z$7:$Z$78&lt;&gt;"",IF($W$7:$W$78&lt;&gt;"",ROW($W$7:$W$78)-MIN(ROW($W$7:$W$78))+1,""),""),ROW()-ROW(A$80)+1)),"##0")," "),"")</f>
        <v/>
      </c>
      <c r="Y118" s="1" t="str">
        <f t="array" ref="Y118">IFERROR(CONCATENATE((INDEX($A$7:$A$78,SMALL(IF($Z$7:$Z$78&lt;&gt;"",IF($W$7:$W$78&lt;&gt;"",ROW($W$7:$W$78)-MIN(ROW($W$7:$W$78))+1,""),""),ROW()-ROW(A$80)+1))),),"")</f>
        <v/>
      </c>
      <c r="AC118" s="1" t="str">
        <f t="array" ref="AC118">IFERROR(CONCATENATE((INDEX($AF$7:$AF$78,SMALL(IF($AF$7:$AF$78&lt;&gt;"",IF($AC$7:$AC$78&lt;&gt;"",ROW($AC$7:$AC$78)-MIN(ROW($AC$7:$AC$78))+1,""),""),ROW()-ROW(A$80)+1))),","),"")</f>
        <v/>
      </c>
      <c r="AD118" s="1" t="str">
        <f t="array" ref="AD118">IFERROR(CONCATENATE(TEXT(INDEX($AC$7:$AC$78,SMALL(IF($AF$7:$AF$78&lt;&gt;"",IF($AC$7:$AC$78&lt;&gt;"",ROW($AC$7:$AC$78)-MIN(ROW($AC$7:$AC$78))+1,""),""),ROW()-ROW(A$80)+1)),"##0"),","),"")</f>
        <v/>
      </c>
      <c r="AE118" s="1" t="str">
        <f t="array" ref="AE118">IFERROR(CONCATENATE((INDEX($A$7:$A$78,SMALL(IF($AF$7:$AF$78&lt;&gt;"",IF($AC$7:$AC$78&lt;&gt;"",ROW($AC$7:$AC$78)-MIN(ROW($AC$7:$AC$78))+1,""),""),ROW()-ROW(A$80)+1))),),"")</f>
        <v/>
      </c>
      <c r="AI118" s="1" t="str">
        <f t="array" ref="AI118">IFERROR(CONCATENATE((INDEX($AL$7:$AL$78,SMALL(IF($AL$7:$AL$78&lt;&gt;"",IF($AI$7:$AI$78&lt;&gt;"",ROW($AI$7:$AI$78)-MIN(ROW($AI$7:$AI$78))+1,""),""),ROW()-ROW(A$80)+1)))," "),"")</f>
        <v/>
      </c>
      <c r="AJ118" s="1" t="str">
        <f t="array" ref="AJ118">IFERROR(CONCATENATE(TEXT(INDEX($AI$7:$AI$78,SMALL(IF($AL$7:$AL$78&lt;&gt;"",IF($AI$7:$AI$78&lt;&gt;"",ROW($AI$7:$AI$78)-MIN(ROW($AI$7:$AI$78))+1,""),""),ROW()-ROW(A$80)+1)),"##0")," "),"")</f>
        <v/>
      </c>
      <c r="AK118" s="1" t="str">
        <f t="array" ref="AK118">IFERROR(CONCATENATE((INDEX($A$7:$A$78,SMALL(IF($AL$7:$AL$78&lt;&gt;"",IF($AI$7:$AI$78&lt;&gt;"",ROW($AI$7:$AI$78)-MIN(ROW($AI$7:$AI$78))+1,""),""),ROW()-ROW(A$80)+1))),),"")</f>
        <v/>
      </c>
    </row>
    <row r="119" spans="11:37" x14ac:dyDescent="0.25">
      <c r="K119" s="1" t="str">
        <f t="array" ref="K119">IFERROR(CONCATENATE(TEXT(INDEX($K$7:$K$78,SMALL(IF($N$7:$N$78&lt;&gt;"",IF($K$7:$K$78&lt;&gt;"",ROW($K$7:$K$78)-MIN(ROW($K$7:$K$78))+1,""),""),ROW()-ROW(A$80)+1)),"##0"),","),"")</f>
        <v/>
      </c>
      <c r="L119" s="1" t="str">
        <f t="array" ref="L119">IFERROR(CONCATENATE((INDEX($N$7:$N$78,SMALL(IF($N$7:$N$78&lt;&gt;"",IF($K$7:$K$78&lt;&gt;"",ROW($K$7:$K$78)-MIN(ROW($K$7:$K$78))+1,""),""),ROW()-ROW(A$80)+1))),","),"")</f>
        <v/>
      </c>
      <c r="M119" s="1" t="str">
        <f t="array" ref="M119">IFERROR(CONCATENATE((INDEX($A$7:$A$78,SMALL(IF($N$7:$N$78&lt;&gt;"",IF($K$7:$K$78&lt;&gt;"",ROW($K$7:$K$78)-MIN(ROW($K$7:$K$78))+1,""),""),ROW()-ROW(A$80)+1))),),"")</f>
        <v/>
      </c>
      <c r="Q119" s="1" t="str">
        <f t="array" ref="Q119">IFERROR(CONCATENATE((INDEX($T$7:$T$78,SMALL(IF($T$7:$T$78&lt;&gt;"",IF($Q$7:$Q$78&lt;&gt;"",ROW($Q$7:$Q$78)-MIN(ROW($Q$7:$Q$78))+1,""),""),ROW()-ROW(A$80)+1)))," "),"")</f>
        <v/>
      </c>
      <c r="R119" s="1" t="str">
        <f t="array" ref="R119">IFERROR(CONCATENATE(TEXT(INDEX($Q$7:$Q$78,SMALL(IF($T$7:$T$78&lt;&gt;"",IF($Q$7:$Q$78&lt;&gt;"",ROW($Q$7:$Q$78)-MIN(ROW($Q$7:$Q$78))+1,""),""),ROW()-ROW(A$80)+1)),"##0")," "),"")</f>
        <v/>
      </c>
      <c r="S119" s="1" t="str">
        <f t="array" ref="S119">IFERROR(CONCATENATE((INDEX($A$7:$A$78,SMALL(IF($T$7:$T$78&lt;&gt;"",IF($Q$7:$Q$78&lt;&gt;"",ROW($Q$7:$Q$78)-MIN(ROW($Q$7:$Q$78))+1,""),""),ROW()-ROW(A$80)+1))),),"")</f>
        <v/>
      </c>
      <c r="W119" s="1" t="str">
        <f t="array" ref="W119">IFERROR(CONCATENATE((INDEX($Z$7:$Z$78,SMALL(IF($Z$7:$Z$78&lt;&gt;"",IF($W$7:$W$78&lt;&gt;"",ROW($W$7:$W$78)-MIN(ROW($W$7:$W$78))+1,""),""),ROW()-ROW(A$80)+1)))," "),"")</f>
        <v/>
      </c>
      <c r="X119" s="1" t="str">
        <f t="array" ref="X119">IFERROR(CONCATENATE(TEXT(INDEX($W$7:$W$78,SMALL(IF($Z$7:$Z$78&lt;&gt;"",IF($W$7:$W$78&lt;&gt;"",ROW($W$7:$W$78)-MIN(ROW($W$7:$W$78))+1,""),""),ROW()-ROW(A$80)+1)),"##0")," "),"")</f>
        <v/>
      </c>
      <c r="Y119" s="1" t="str">
        <f t="array" ref="Y119">IFERROR(CONCATENATE((INDEX($A$7:$A$78,SMALL(IF($Z$7:$Z$78&lt;&gt;"",IF($W$7:$W$78&lt;&gt;"",ROW($W$7:$W$78)-MIN(ROW($W$7:$W$78))+1,""),""),ROW()-ROW(A$80)+1))),),"")</f>
        <v/>
      </c>
      <c r="AC119" s="1" t="str">
        <f t="array" ref="AC119">IFERROR(CONCATENATE((INDEX($AF$7:$AF$78,SMALL(IF($AF$7:$AF$78&lt;&gt;"",IF($AC$7:$AC$78&lt;&gt;"",ROW($AC$7:$AC$78)-MIN(ROW($AC$7:$AC$78))+1,""),""),ROW()-ROW(A$80)+1))),","),"")</f>
        <v/>
      </c>
      <c r="AD119" s="1" t="str">
        <f t="array" ref="AD119">IFERROR(CONCATENATE(TEXT(INDEX($AC$7:$AC$78,SMALL(IF($AF$7:$AF$78&lt;&gt;"",IF($AC$7:$AC$78&lt;&gt;"",ROW($AC$7:$AC$78)-MIN(ROW($AC$7:$AC$78))+1,""),""),ROW()-ROW(A$80)+1)),"##0"),","),"")</f>
        <v/>
      </c>
      <c r="AE119" s="1" t="str">
        <f t="array" ref="AE119">IFERROR(CONCATENATE((INDEX($A$7:$A$78,SMALL(IF($AF$7:$AF$78&lt;&gt;"",IF($AC$7:$AC$78&lt;&gt;"",ROW($AC$7:$AC$78)-MIN(ROW($AC$7:$AC$78))+1,""),""),ROW()-ROW(A$80)+1))),),"")</f>
        <v/>
      </c>
      <c r="AI119" s="1" t="str">
        <f t="array" ref="AI119">IFERROR(CONCATENATE((INDEX($AL$7:$AL$78,SMALL(IF($AL$7:$AL$78&lt;&gt;"",IF($AI$7:$AI$78&lt;&gt;"",ROW($AI$7:$AI$78)-MIN(ROW($AI$7:$AI$78))+1,""),""),ROW()-ROW(A$80)+1)))," "),"")</f>
        <v/>
      </c>
      <c r="AJ119" s="1" t="str">
        <f t="array" ref="AJ119">IFERROR(CONCATENATE(TEXT(INDEX($AI$7:$AI$78,SMALL(IF($AL$7:$AL$78&lt;&gt;"",IF($AI$7:$AI$78&lt;&gt;"",ROW($AI$7:$AI$78)-MIN(ROW($AI$7:$AI$78))+1,""),""),ROW()-ROW(A$80)+1)),"##0")," "),"")</f>
        <v/>
      </c>
      <c r="AK119" s="1" t="str">
        <f t="array" ref="AK119">IFERROR(CONCATENATE((INDEX($A$7:$A$78,SMALL(IF($AL$7:$AL$78&lt;&gt;"",IF($AI$7:$AI$78&lt;&gt;"",ROW($AI$7:$AI$78)-MIN(ROW($AI$7:$AI$78))+1,""),""),ROW()-ROW(A$80)+1))),),"")</f>
        <v/>
      </c>
    </row>
    <row r="120" spans="11:37" x14ac:dyDescent="0.25">
      <c r="K120" s="1" t="str">
        <f t="array" ref="K120">IFERROR(CONCATENATE(TEXT(INDEX($K$7:$K$78,SMALL(IF($N$7:$N$78&lt;&gt;"",IF($K$7:$K$78&lt;&gt;"",ROW($K$7:$K$78)-MIN(ROW($K$7:$K$78))+1,""),""),ROW()-ROW(A$80)+1)),"##0"),","),"")</f>
        <v/>
      </c>
      <c r="L120" s="1" t="str">
        <f t="array" ref="L120">IFERROR(CONCATENATE((INDEX($N$7:$N$78,SMALL(IF($N$7:$N$78&lt;&gt;"",IF($K$7:$K$78&lt;&gt;"",ROW($K$7:$K$78)-MIN(ROW($K$7:$K$78))+1,""),""),ROW()-ROW(A$80)+1))),","),"")</f>
        <v/>
      </c>
      <c r="M120" s="1" t="str">
        <f t="array" ref="M120">IFERROR(CONCATENATE((INDEX($A$7:$A$78,SMALL(IF($N$7:$N$78&lt;&gt;"",IF($K$7:$K$78&lt;&gt;"",ROW($K$7:$K$78)-MIN(ROW($K$7:$K$78))+1,""),""),ROW()-ROW(A$80)+1))),),"")</f>
        <v/>
      </c>
      <c r="Q120" s="1" t="str">
        <f t="array" ref="Q120">IFERROR(CONCATENATE((INDEX($T$7:$T$78,SMALL(IF($T$7:$T$78&lt;&gt;"",IF($Q$7:$Q$78&lt;&gt;"",ROW($Q$7:$Q$78)-MIN(ROW($Q$7:$Q$78))+1,""),""),ROW()-ROW(A$80)+1)))," "),"")</f>
        <v/>
      </c>
      <c r="R120" s="1" t="str">
        <f t="array" ref="R120">IFERROR(CONCATENATE(TEXT(INDEX($Q$7:$Q$78,SMALL(IF($T$7:$T$78&lt;&gt;"",IF($Q$7:$Q$78&lt;&gt;"",ROW($Q$7:$Q$78)-MIN(ROW($Q$7:$Q$78))+1,""),""),ROW()-ROW(A$80)+1)),"##0")," "),"")</f>
        <v/>
      </c>
      <c r="S120" s="1" t="str">
        <f t="array" ref="S120">IFERROR(CONCATENATE((INDEX($A$7:$A$78,SMALL(IF($T$7:$T$78&lt;&gt;"",IF($Q$7:$Q$78&lt;&gt;"",ROW($Q$7:$Q$78)-MIN(ROW($Q$7:$Q$78))+1,""),""),ROW()-ROW(A$80)+1))),),"")</f>
        <v/>
      </c>
      <c r="W120" s="1" t="str">
        <f t="array" ref="W120">IFERROR(CONCATENATE((INDEX($Z$7:$Z$78,SMALL(IF($Z$7:$Z$78&lt;&gt;"",IF($W$7:$W$78&lt;&gt;"",ROW($W$7:$W$78)-MIN(ROW($W$7:$W$78))+1,""),""),ROW()-ROW(A$80)+1)))," "),"")</f>
        <v/>
      </c>
      <c r="X120" s="1" t="str">
        <f t="array" ref="X120">IFERROR(CONCATENATE(TEXT(INDEX($W$7:$W$78,SMALL(IF($Z$7:$Z$78&lt;&gt;"",IF($W$7:$W$78&lt;&gt;"",ROW($W$7:$W$78)-MIN(ROW($W$7:$W$78))+1,""),""),ROW()-ROW(A$80)+1)),"##0")," "),"")</f>
        <v/>
      </c>
      <c r="Y120" s="1" t="str">
        <f t="array" ref="Y120">IFERROR(CONCATENATE((INDEX($A$7:$A$78,SMALL(IF($Z$7:$Z$78&lt;&gt;"",IF($W$7:$W$78&lt;&gt;"",ROW($W$7:$W$78)-MIN(ROW($W$7:$W$78))+1,""),""),ROW()-ROW(A$80)+1))),),"")</f>
        <v/>
      </c>
      <c r="AC120" s="1" t="str">
        <f t="array" ref="AC120">IFERROR(CONCATENATE((INDEX($AF$7:$AF$78,SMALL(IF($AF$7:$AF$78&lt;&gt;"",IF($AC$7:$AC$78&lt;&gt;"",ROW($AC$7:$AC$78)-MIN(ROW($AC$7:$AC$78))+1,""),""),ROW()-ROW(A$80)+1))),","),"")</f>
        <v/>
      </c>
      <c r="AD120" s="1" t="str">
        <f t="array" ref="AD120">IFERROR(CONCATENATE(TEXT(INDEX($AC$7:$AC$78,SMALL(IF($AF$7:$AF$78&lt;&gt;"",IF($AC$7:$AC$78&lt;&gt;"",ROW($AC$7:$AC$78)-MIN(ROW($AC$7:$AC$78))+1,""),""),ROW()-ROW(A$80)+1)),"##0"),","),"")</f>
        <v/>
      </c>
      <c r="AE120" s="1" t="str">
        <f t="array" ref="AE120">IFERROR(CONCATENATE((INDEX($A$7:$A$78,SMALL(IF($AF$7:$AF$78&lt;&gt;"",IF($AC$7:$AC$78&lt;&gt;"",ROW($AC$7:$AC$78)-MIN(ROW($AC$7:$AC$78))+1,""),""),ROW()-ROW(A$80)+1))),),"")</f>
        <v/>
      </c>
      <c r="AI120" s="1" t="str">
        <f t="array" ref="AI120">IFERROR(CONCATENATE((INDEX($AL$7:$AL$78,SMALL(IF($AL$7:$AL$78&lt;&gt;"",IF($AI$7:$AI$78&lt;&gt;"",ROW($AI$7:$AI$78)-MIN(ROW($AI$7:$AI$78))+1,""),""),ROW()-ROW(A$80)+1)))," "),"")</f>
        <v/>
      </c>
      <c r="AJ120" s="1" t="str">
        <f t="array" ref="AJ120">IFERROR(CONCATENATE(TEXT(INDEX($AI$7:$AI$78,SMALL(IF($AL$7:$AL$78&lt;&gt;"",IF($AI$7:$AI$78&lt;&gt;"",ROW($AI$7:$AI$78)-MIN(ROW($AI$7:$AI$78))+1,""),""),ROW()-ROW(A$80)+1)),"##0")," "),"")</f>
        <v/>
      </c>
      <c r="AK120" s="1" t="str">
        <f t="array" ref="AK120">IFERROR(CONCATENATE((INDEX($A$7:$A$78,SMALL(IF($AL$7:$AL$78&lt;&gt;"",IF($AI$7:$AI$78&lt;&gt;"",ROW($AI$7:$AI$78)-MIN(ROW($AI$7:$AI$78))+1,""),""),ROW()-ROW(A$80)+1))),),"")</f>
        <v/>
      </c>
    </row>
    <row r="121" spans="11:37" x14ac:dyDescent="0.25">
      <c r="K121" s="1" t="str">
        <f t="array" ref="K121">IFERROR(CONCATENATE(TEXT(INDEX($K$7:$K$78,SMALL(IF($N$7:$N$78&lt;&gt;"",IF($K$7:$K$78&lt;&gt;"",ROW($K$7:$K$78)-MIN(ROW($K$7:$K$78))+1,""),""),ROW()-ROW(A$80)+1)),"##0"),","),"")</f>
        <v/>
      </c>
      <c r="L121" s="1" t="str">
        <f t="array" ref="L121">IFERROR(CONCATENATE((INDEX($N$7:$N$78,SMALL(IF($N$7:$N$78&lt;&gt;"",IF($K$7:$K$78&lt;&gt;"",ROW($K$7:$K$78)-MIN(ROW($K$7:$K$78))+1,""),""),ROW()-ROW(A$80)+1))),","),"")</f>
        <v/>
      </c>
      <c r="M121" s="1" t="str">
        <f t="array" ref="M121">IFERROR(CONCATENATE((INDEX($A$7:$A$78,SMALL(IF($N$7:$N$78&lt;&gt;"",IF($K$7:$K$78&lt;&gt;"",ROW($K$7:$K$78)-MIN(ROW($K$7:$K$78))+1,""),""),ROW()-ROW(A$80)+1))),),"")</f>
        <v/>
      </c>
      <c r="Q121" s="1" t="str">
        <f t="array" ref="Q121">IFERROR(CONCATENATE((INDEX($T$7:$T$78,SMALL(IF($T$7:$T$78&lt;&gt;"",IF($Q$7:$Q$78&lt;&gt;"",ROW($Q$7:$Q$78)-MIN(ROW($Q$7:$Q$78))+1,""),""),ROW()-ROW(A$80)+1)))," "),"")</f>
        <v/>
      </c>
      <c r="R121" s="1" t="str">
        <f t="array" ref="R121">IFERROR(CONCATENATE(TEXT(INDEX($Q$7:$Q$78,SMALL(IF($T$7:$T$78&lt;&gt;"",IF($Q$7:$Q$78&lt;&gt;"",ROW($Q$7:$Q$78)-MIN(ROW($Q$7:$Q$78))+1,""),""),ROW()-ROW(A$80)+1)),"##0")," "),"")</f>
        <v/>
      </c>
      <c r="S121" s="1" t="str">
        <f t="array" ref="S121">IFERROR(CONCATENATE((INDEX($A$7:$A$78,SMALL(IF($T$7:$T$78&lt;&gt;"",IF($Q$7:$Q$78&lt;&gt;"",ROW($Q$7:$Q$78)-MIN(ROW($Q$7:$Q$78))+1,""),""),ROW()-ROW(A$80)+1))),),"")</f>
        <v/>
      </c>
      <c r="W121" s="1" t="str">
        <f t="array" ref="W121">IFERROR(CONCATENATE((INDEX($Z$7:$Z$78,SMALL(IF($Z$7:$Z$78&lt;&gt;"",IF($W$7:$W$78&lt;&gt;"",ROW($W$7:$W$78)-MIN(ROW($W$7:$W$78))+1,""),""),ROW()-ROW(A$80)+1)))," "),"")</f>
        <v/>
      </c>
      <c r="X121" s="1" t="str">
        <f t="array" ref="X121">IFERROR(CONCATENATE(TEXT(INDEX($W$7:$W$78,SMALL(IF($Z$7:$Z$78&lt;&gt;"",IF($W$7:$W$78&lt;&gt;"",ROW($W$7:$W$78)-MIN(ROW($W$7:$W$78))+1,""),""),ROW()-ROW(A$80)+1)),"##0")," "),"")</f>
        <v/>
      </c>
      <c r="Y121" s="1" t="str">
        <f t="array" ref="Y121">IFERROR(CONCATENATE((INDEX($A$7:$A$78,SMALL(IF($Z$7:$Z$78&lt;&gt;"",IF($W$7:$W$78&lt;&gt;"",ROW($W$7:$W$78)-MIN(ROW($W$7:$W$78))+1,""),""),ROW()-ROW(A$80)+1))),),"")</f>
        <v/>
      </c>
      <c r="AC121" s="1" t="str">
        <f t="array" ref="AC121">IFERROR(CONCATENATE((INDEX($AF$7:$AF$78,SMALL(IF($AF$7:$AF$78&lt;&gt;"",IF($AC$7:$AC$78&lt;&gt;"",ROW($AC$7:$AC$78)-MIN(ROW($AC$7:$AC$78))+1,""),""),ROW()-ROW(A$80)+1))),","),"")</f>
        <v/>
      </c>
      <c r="AD121" s="1" t="str">
        <f t="array" ref="AD121">IFERROR(CONCATENATE(TEXT(INDEX($AC$7:$AC$78,SMALL(IF($AF$7:$AF$78&lt;&gt;"",IF($AC$7:$AC$78&lt;&gt;"",ROW($AC$7:$AC$78)-MIN(ROW($AC$7:$AC$78))+1,""),""),ROW()-ROW(A$80)+1)),"##0"),","),"")</f>
        <v/>
      </c>
      <c r="AE121" s="1" t="str">
        <f t="array" ref="AE121">IFERROR(CONCATENATE((INDEX($A$7:$A$78,SMALL(IF($AF$7:$AF$78&lt;&gt;"",IF($AC$7:$AC$78&lt;&gt;"",ROW($AC$7:$AC$78)-MIN(ROW($AC$7:$AC$78))+1,""),""),ROW()-ROW(A$80)+1))),),"")</f>
        <v/>
      </c>
      <c r="AI121" s="1" t="str">
        <f t="array" ref="AI121">IFERROR(CONCATENATE((INDEX($AL$7:$AL$78,SMALL(IF($AL$7:$AL$78&lt;&gt;"",IF($AI$7:$AI$78&lt;&gt;"",ROW($AI$7:$AI$78)-MIN(ROW($AI$7:$AI$78))+1,""),""),ROW()-ROW(A$80)+1)))," "),"")</f>
        <v/>
      </c>
      <c r="AJ121" s="1" t="str">
        <f t="array" ref="AJ121">IFERROR(CONCATENATE(TEXT(INDEX($AI$7:$AI$78,SMALL(IF($AL$7:$AL$78&lt;&gt;"",IF($AI$7:$AI$78&lt;&gt;"",ROW($AI$7:$AI$78)-MIN(ROW($AI$7:$AI$78))+1,""),""),ROW()-ROW(A$80)+1)),"##0")," "),"")</f>
        <v/>
      </c>
      <c r="AK121" s="1" t="str">
        <f t="array" ref="AK121">IFERROR(CONCATENATE((INDEX($A$7:$A$78,SMALL(IF($AL$7:$AL$78&lt;&gt;"",IF($AI$7:$AI$78&lt;&gt;"",ROW($AI$7:$AI$78)-MIN(ROW($AI$7:$AI$78))+1,""),""),ROW()-ROW(A$80)+1))),),"")</f>
        <v/>
      </c>
    </row>
    <row r="122" spans="11:37" x14ac:dyDescent="0.25">
      <c r="K122" s="1" t="str">
        <f t="array" ref="K122">IFERROR(CONCATENATE(TEXT(INDEX($K$7:$K$78,SMALL(IF($N$7:$N$78&lt;&gt;"",IF($K$7:$K$78&lt;&gt;"",ROW($K$7:$K$78)-MIN(ROW($K$7:$K$78))+1,""),""),ROW()-ROW(A$80)+1)),"##0"),","),"")</f>
        <v/>
      </c>
      <c r="L122" s="1" t="str">
        <f t="array" ref="L122">IFERROR(CONCATENATE((INDEX($N$7:$N$78,SMALL(IF($N$7:$N$78&lt;&gt;"",IF($K$7:$K$78&lt;&gt;"",ROW($K$7:$K$78)-MIN(ROW($K$7:$K$78))+1,""),""),ROW()-ROW(A$80)+1))),","),"")</f>
        <v/>
      </c>
      <c r="M122" s="1" t="str">
        <f t="array" ref="M122">IFERROR(CONCATENATE((INDEX($A$7:$A$78,SMALL(IF($N$7:$N$78&lt;&gt;"",IF($K$7:$K$78&lt;&gt;"",ROW($K$7:$K$78)-MIN(ROW($K$7:$K$78))+1,""),""),ROW()-ROW(A$80)+1))),),"")</f>
        <v/>
      </c>
      <c r="Q122" s="1" t="str">
        <f t="array" ref="Q122">IFERROR(CONCATENATE((INDEX($T$7:$T$78,SMALL(IF($T$7:$T$78&lt;&gt;"",IF($Q$7:$Q$78&lt;&gt;"",ROW($Q$7:$Q$78)-MIN(ROW($Q$7:$Q$78))+1,""),""),ROW()-ROW(A$80)+1)))," "),"")</f>
        <v/>
      </c>
      <c r="R122" s="1" t="str">
        <f t="array" ref="R122">IFERROR(CONCATENATE(TEXT(INDEX($Q$7:$Q$78,SMALL(IF($T$7:$T$78&lt;&gt;"",IF($Q$7:$Q$78&lt;&gt;"",ROW($Q$7:$Q$78)-MIN(ROW($Q$7:$Q$78))+1,""),""),ROW()-ROW(A$80)+1)),"##0")," "),"")</f>
        <v/>
      </c>
      <c r="S122" s="1" t="str">
        <f t="array" ref="S122">IFERROR(CONCATENATE((INDEX($A$7:$A$78,SMALL(IF($T$7:$T$78&lt;&gt;"",IF($Q$7:$Q$78&lt;&gt;"",ROW($Q$7:$Q$78)-MIN(ROW($Q$7:$Q$78))+1,""),""),ROW()-ROW(A$80)+1))),),"")</f>
        <v/>
      </c>
      <c r="W122" s="1" t="str">
        <f t="array" ref="W122">IFERROR(CONCATENATE((INDEX($Z$7:$Z$78,SMALL(IF($Z$7:$Z$78&lt;&gt;"",IF($W$7:$W$78&lt;&gt;"",ROW($W$7:$W$78)-MIN(ROW($W$7:$W$78))+1,""),""),ROW()-ROW(A$80)+1)))," "),"")</f>
        <v/>
      </c>
      <c r="X122" s="1" t="str">
        <f t="array" ref="X122">IFERROR(CONCATENATE(TEXT(INDEX($W$7:$W$78,SMALL(IF($Z$7:$Z$78&lt;&gt;"",IF($W$7:$W$78&lt;&gt;"",ROW($W$7:$W$78)-MIN(ROW($W$7:$W$78))+1,""),""),ROW()-ROW(A$80)+1)),"##0")," "),"")</f>
        <v/>
      </c>
      <c r="Y122" s="1" t="str">
        <f t="array" ref="Y122">IFERROR(CONCATENATE((INDEX($A$7:$A$78,SMALL(IF($Z$7:$Z$78&lt;&gt;"",IF($W$7:$W$78&lt;&gt;"",ROW($W$7:$W$78)-MIN(ROW($W$7:$W$78))+1,""),""),ROW()-ROW(A$80)+1))),),"")</f>
        <v/>
      </c>
      <c r="AC122" s="1" t="str">
        <f t="array" ref="AC122">IFERROR(CONCATENATE((INDEX($AF$7:$AF$78,SMALL(IF($AF$7:$AF$78&lt;&gt;"",IF($AC$7:$AC$78&lt;&gt;"",ROW($AC$7:$AC$78)-MIN(ROW($AC$7:$AC$78))+1,""),""),ROW()-ROW(A$80)+1))),","),"")</f>
        <v/>
      </c>
      <c r="AD122" s="1" t="str">
        <f t="array" ref="AD122">IFERROR(CONCATENATE(TEXT(INDEX($AC$7:$AC$78,SMALL(IF($AF$7:$AF$78&lt;&gt;"",IF($AC$7:$AC$78&lt;&gt;"",ROW($AC$7:$AC$78)-MIN(ROW($AC$7:$AC$78))+1,""),""),ROW()-ROW(A$80)+1)),"##0"),","),"")</f>
        <v/>
      </c>
      <c r="AE122" s="1" t="str">
        <f t="array" ref="AE122">IFERROR(CONCATENATE((INDEX($A$7:$A$78,SMALL(IF($AF$7:$AF$78&lt;&gt;"",IF($AC$7:$AC$78&lt;&gt;"",ROW($AC$7:$AC$78)-MIN(ROW($AC$7:$AC$78))+1,""),""),ROW()-ROW(A$80)+1))),),"")</f>
        <v/>
      </c>
      <c r="AI122" s="1" t="str">
        <f t="array" ref="AI122">IFERROR(CONCATENATE((INDEX($AL$7:$AL$78,SMALL(IF($AL$7:$AL$78&lt;&gt;"",IF($AI$7:$AI$78&lt;&gt;"",ROW($AI$7:$AI$78)-MIN(ROW($AI$7:$AI$78))+1,""),""),ROW()-ROW(A$80)+1)))," "),"")</f>
        <v/>
      </c>
      <c r="AJ122" s="1" t="str">
        <f t="array" ref="AJ122">IFERROR(CONCATENATE(TEXT(INDEX($AI$7:$AI$78,SMALL(IF($AL$7:$AL$78&lt;&gt;"",IF($AI$7:$AI$78&lt;&gt;"",ROW($AI$7:$AI$78)-MIN(ROW($AI$7:$AI$78))+1,""),""),ROW()-ROW(A$80)+1)),"##0")," "),"")</f>
        <v/>
      </c>
      <c r="AK122" s="1" t="str">
        <f t="array" ref="AK122">IFERROR(CONCATENATE((INDEX($A$7:$A$78,SMALL(IF($AL$7:$AL$78&lt;&gt;"",IF($AI$7:$AI$78&lt;&gt;"",ROW($AI$7:$AI$78)-MIN(ROW($AI$7:$AI$78))+1,""),""),ROW()-ROW(A$80)+1))),),"")</f>
        <v/>
      </c>
    </row>
    <row r="123" spans="11:37" x14ac:dyDescent="0.25">
      <c r="K123" s="1" t="str">
        <f t="array" ref="K123">IFERROR(CONCATENATE(TEXT(INDEX($K$7:$K$78,SMALL(IF($N$7:$N$78&lt;&gt;"",IF($K$7:$K$78&lt;&gt;"",ROW($K$7:$K$78)-MIN(ROW($K$7:$K$78))+1,""),""),ROW()-ROW(A$80)+1)),"##0"),","),"")</f>
        <v/>
      </c>
      <c r="L123" s="1" t="str">
        <f t="array" ref="L123">IFERROR(CONCATENATE((INDEX($N$7:$N$78,SMALL(IF($N$7:$N$78&lt;&gt;"",IF($K$7:$K$78&lt;&gt;"",ROW($K$7:$K$78)-MIN(ROW($K$7:$K$78))+1,""),""),ROW()-ROW(A$80)+1))),","),"")</f>
        <v/>
      </c>
      <c r="M123" s="1" t="str">
        <f t="array" ref="M123">IFERROR(CONCATENATE((INDEX($A$7:$A$78,SMALL(IF($N$7:$N$78&lt;&gt;"",IF($K$7:$K$78&lt;&gt;"",ROW($K$7:$K$78)-MIN(ROW($K$7:$K$78))+1,""),""),ROW()-ROW(A$80)+1))),),"")</f>
        <v/>
      </c>
      <c r="Q123" s="1" t="str">
        <f t="array" ref="Q123">IFERROR(CONCATENATE((INDEX($T$7:$T$78,SMALL(IF($T$7:$T$78&lt;&gt;"",IF($Q$7:$Q$78&lt;&gt;"",ROW($Q$7:$Q$78)-MIN(ROW($Q$7:$Q$78))+1,""),""),ROW()-ROW(A$80)+1)))," "),"")</f>
        <v/>
      </c>
      <c r="R123" s="1" t="str">
        <f t="array" ref="R123">IFERROR(CONCATENATE(TEXT(INDEX($Q$7:$Q$78,SMALL(IF($T$7:$T$78&lt;&gt;"",IF($Q$7:$Q$78&lt;&gt;"",ROW($Q$7:$Q$78)-MIN(ROW($Q$7:$Q$78))+1,""),""),ROW()-ROW(A$80)+1)),"##0")," "),"")</f>
        <v/>
      </c>
      <c r="S123" s="1" t="str">
        <f t="array" ref="S123">IFERROR(CONCATENATE((INDEX($A$7:$A$78,SMALL(IF($T$7:$T$78&lt;&gt;"",IF($Q$7:$Q$78&lt;&gt;"",ROW($Q$7:$Q$78)-MIN(ROW($Q$7:$Q$78))+1,""),""),ROW()-ROW(A$80)+1))),),"")</f>
        <v/>
      </c>
      <c r="W123" s="1" t="str">
        <f t="array" ref="W123">IFERROR(CONCATENATE((INDEX($Z$7:$Z$78,SMALL(IF($Z$7:$Z$78&lt;&gt;"",IF($W$7:$W$78&lt;&gt;"",ROW($W$7:$W$78)-MIN(ROW($W$7:$W$78))+1,""),""),ROW()-ROW(A$80)+1)))," "),"")</f>
        <v/>
      </c>
      <c r="X123" s="1" t="str">
        <f t="array" ref="X123">IFERROR(CONCATENATE(TEXT(INDEX($W$7:$W$78,SMALL(IF($Z$7:$Z$78&lt;&gt;"",IF($W$7:$W$78&lt;&gt;"",ROW($W$7:$W$78)-MIN(ROW($W$7:$W$78))+1,""),""),ROW()-ROW(A$80)+1)),"##0")," "),"")</f>
        <v/>
      </c>
      <c r="Y123" s="1" t="str">
        <f t="array" ref="Y123">IFERROR(CONCATENATE((INDEX($A$7:$A$78,SMALL(IF($Z$7:$Z$78&lt;&gt;"",IF($W$7:$W$78&lt;&gt;"",ROW($W$7:$W$78)-MIN(ROW($W$7:$W$78))+1,""),""),ROW()-ROW(A$80)+1))),),"")</f>
        <v/>
      </c>
      <c r="AC123" s="1" t="str">
        <f t="array" ref="AC123">IFERROR(CONCATENATE((INDEX($AF$7:$AF$78,SMALL(IF($AF$7:$AF$78&lt;&gt;"",IF($AC$7:$AC$78&lt;&gt;"",ROW($AC$7:$AC$78)-MIN(ROW($AC$7:$AC$78))+1,""),""),ROW()-ROW(A$80)+1))),","),"")</f>
        <v/>
      </c>
      <c r="AD123" s="1" t="str">
        <f t="array" ref="AD123">IFERROR(CONCATENATE(TEXT(INDEX($AC$7:$AC$78,SMALL(IF($AF$7:$AF$78&lt;&gt;"",IF($AC$7:$AC$78&lt;&gt;"",ROW($AC$7:$AC$78)-MIN(ROW($AC$7:$AC$78))+1,""),""),ROW()-ROW(A$80)+1)),"##0"),","),"")</f>
        <v/>
      </c>
      <c r="AE123" s="1" t="str">
        <f t="array" ref="AE123">IFERROR(CONCATENATE((INDEX($A$7:$A$78,SMALL(IF($AF$7:$AF$78&lt;&gt;"",IF($AC$7:$AC$78&lt;&gt;"",ROW($AC$7:$AC$78)-MIN(ROW($AC$7:$AC$78))+1,""),""),ROW()-ROW(A$80)+1))),),"")</f>
        <v/>
      </c>
      <c r="AI123" s="1" t="str">
        <f t="array" ref="AI123">IFERROR(CONCATENATE((INDEX($AL$7:$AL$78,SMALL(IF($AL$7:$AL$78&lt;&gt;"",IF($AI$7:$AI$78&lt;&gt;"",ROW($AI$7:$AI$78)-MIN(ROW($AI$7:$AI$78))+1,""),""),ROW()-ROW(A$80)+1)))," "),"")</f>
        <v/>
      </c>
      <c r="AJ123" s="1" t="str">
        <f t="array" ref="AJ123">IFERROR(CONCATENATE(TEXT(INDEX($AI$7:$AI$78,SMALL(IF($AL$7:$AL$78&lt;&gt;"",IF($AI$7:$AI$78&lt;&gt;"",ROW($AI$7:$AI$78)-MIN(ROW($AI$7:$AI$78))+1,""),""),ROW()-ROW(A$80)+1)),"##0")," "),"")</f>
        <v/>
      </c>
      <c r="AK123" s="1" t="str">
        <f t="array" ref="AK123">IFERROR(CONCATENATE((INDEX($A$7:$A$78,SMALL(IF($AL$7:$AL$78&lt;&gt;"",IF($AI$7:$AI$78&lt;&gt;"",ROW($AI$7:$AI$78)-MIN(ROW($AI$7:$AI$78))+1,""),""),ROW()-ROW(A$80)+1))),),"")</f>
        <v/>
      </c>
    </row>
    <row r="124" spans="11:37" x14ac:dyDescent="0.25">
      <c r="K124" s="1" t="str">
        <f t="array" ref="K124">IFERROR(CONCATENATE(TEXT(INDEX($K$7:$K$78,SMALL(IF($N$7:$N$78&lt;&gt;"",IF($K$7:$K$78&lt;&gt;"",ROW($K$7:$K$78)-MIN(ROW($K$7:$K$78))+1,""),""),ROW()-ROW(A$80)+1)),"##0"),","),"")</f>
        <v/>
      </c>
      <c r="L124" s="1" t="str">
        <f t="array" ref="L124">IFERROR(CONCATENATE((INDEX($N$7:$N$78,SMALL(IF($N$7:$N$78&lt;&gt;"",IF($K$7:$K$78&lt;&gt;"",ROW($K$7:$K$78)-MIN(ROW($K$7:$K$78))+1,""),""),ROW()-ROW(A$80)+1))),","),"")</f>
        <v/>
      </c>
      <c r="M124" s="1" t="str">
        <f t="array" ref="M124">IFERROR(CONCATENATE((INDEX($A$7:$A$78,SMALL(IF($N$7:$N$78&lt;&gt;"",IF($K$7:$K$78&lt;&gt;"",ROW($K$7:$K$78)-MIN(ROW($K$7:$K$78))+1,""),""),ROW()-ROW(A$80)+1))),),"")</f>
        <v/>
      </c>
      <c r="Q124" s="1" t="str">
        <f t="array" ref="Q124">IFERROR(CONCATENATE((INDEX($T$7:$T$78,SMALL(IF($T$7:$T$78&lt;&gt;"",IF($Q$7:$Q$78&lt;&gt;"",ROW($Q$7:$Q$78)-MIN(ROW($Q$7:$Q$78))+1,""),""),ROW()-ROW(A$80)+1)))," "),"")</f>
        <v/>
      </c>
      <c r="R124" s="1" t="str">
        <f t="array" ref="R124">IFERROR(CONCATENATE(TEXT(INDEX($Q$7:$Q$78,SMALL(IF($T$7:$T$78&lt;&gt;"",IF($Q$7:$Q$78&lt;&gt;"",ROW($Q$7:$Q$78)-MIN(ROW($Q$7:$Q$78))+1,""),""),ROW()-ROW(A$80)+1)),"##0")," "),"")</f>
        <v/>
      </c>
      <c r="S124" s="1" t="str">
        <f t="array" ref="S124">IFERROR(CONCATENATE((INDEX($A$7:$A$78,SMALL(IF($T$7:$T$78&lt;&gt;"",IF($Q$7:$Q$78&lt;&gt;"",ROW($Q$7:$Q$78)-MIN(ROW($Q$7:$Q$78))+1,""),""),ROW()-ROW(A$80)+1))),),"")</f>
        <v/>
      </c>
      <c r="W124" s="1" t="str">
        <f t="array" ref="W124">IFERROR(CONCATENATE((INDEX($Z$7:$Z$78,SMALL(IF($Z$7:$Z$78&lt;&gt;"",IF($W$7:$W$78&lt;&gt;"",ROW($W$7:$W$78)-MIN(ROW($W$7:$W$78))+1,""),""),ROW()-ROW(A$80)+1)))," "),"")</f>
        <v/>
      </c>
      <c r="X124" s="1" t="str">
        <f t="array" ref="X124">IFERROR(CONCATENATE(TEXT(INDEX($W$7:$W$78,SMALL(IF($Z$7:$Z$78&lt;&gt;"",IF($W$7:$W$78&lt;&gt;"",ROW($W$7:$W$78)-MIN(ROW($W$7:$W$78))+1,""),""),ROW()-ROW(A$80)+1)),"##0")," "),"")</f>
        <v/>
      </c>
      <c r="Y124" s="1" t="str">
        <f t="array" ref="Y124">IFERROR(CONCATENATE((INDEX($A$7:$A$78,SMALL(IF($Z$7:$Z$78&lt;&gt;"",IF($W$7:$W$78&lt;&gt;"",ROW($W$7:$W$78)-MIN(ROW($W$7:$W$78))+1,""),""),ROW()-ROW(A$80)+1))),),"")</f>
        <v/>
      </c>
      <c r="AC124" s="1" t="str">
        <f t="array" ref="AC124">IFERROR(CONCATENATE((INDEX($AF$7:$AF$78,SMALL(IF($AF$7:$AF$78&lt;&gt;"",IF($AC$7:$AC$78&lt;&gt;"",ROW($AC$7:$AC$78)-MIN(ROW($AC$7:$AC$78))+1,""),""),ROW()-ROW(A$80)+1))),","),"")</f>
        <v/>
      </c>
      <c r="AD124" s="1" t="str">
        <f t="array" ref="AD124">IFERROR(CONCATENATE(TEXT(INDEX($AC$7:$AC$78,SMALL(IF($AF$7:$AF$78&lt;&gt;"",IF($AC$7:$AC$78&lt;&gt;"",ROW($AC$7:$AC$78)-MIN(ROW($AC$7:$AC$78))+1,""),""),ROW()-ROW(A$80)+1)),"##0"),","),"")</f>
        <v/>
      </c>
      <c r="AE124" s="1" t="str">
        <f t="array" ref="AE124">IFERROR(CONCATENATE((INDEX($A$7:$A$78,SMALL(IF($AF$7:$AF$78&lt;&gt;"",IF($AC$7:$AC$78&lt;&gt;"",ROW($AC$7:$AC$78)-MIN(ROW($AC$7:$AC$78))+1,""),""),ROW()-ROW(A$80)+1))),),"")</f>
        <v/>
      </c>
      <c r="AI124" s="1" t="str">
        <f t="array" ref="AI124">IFERROR(CONCATENATE((INDEX($AL$7:$AL$78,SMALL(IF($AL$7:$AL$78&lt;&gt;"",IF($AI$7:$AI$78&lt;&gt;"",ROW($AI$7:$AI$78)-MIN(ROW($AI$7:$AI$78))+1,""),""),ROW()-ROW(A$80)+1)))," "),"")</f>
        <v/>
      </c>
      <c r="AJ124" s="1" t="str">
        <f t="array" ref="AJ124">IFERROR(CONCATENATE(TEXT(INDEX($AI$7:$AI$78,SMALL(IF($AL$7:$AL$78&lt;&gt;"",IF($AI$7:$AI$78&lt;&gt;"",ROW($AI$7:$AI$78)-MIN(ROW($AI$7:$AI$78))+1,""),""),ROW()-ROW(A$80)+1)),"##0")," "),"")</f>
        <v/>
      </c>
      <c r="AK124" s="1" t="str">
        <f t="array" ref="AK124">IFERROR(CONCATENATE((INDEX($A$7:$A$78,SMALL(IF($AL$7:$AL$78&lt;&gt;"",IF($AI$7:$AI$78&lt;&gt;"",ROW($AI$7:$AI$78)-MIN(ROW($AI$7:$AI$78))+1,""),""),ROW()-ROW(A$80)+1))),),"")</f>
        <v/>
      </c>
    </row>
    <row r="125" spans="11:37" x14ac:dyDescent="0.25">
      <c r="K125" s="1" t="str">
        <f t="array" ref="K125">IFERROR(CONCATENATE(TEXT(INDEX($K$7:$K$78,SMALL(IF($N$7:$N$78&lt;&gt;"",IF($K$7:$K$78&lt;&gt;"",ROW($K$7:$K$78)-MIN(ROW($K$7:$K$78))+1,""),""),ROW()-ROW(A$80)+1)),"##0"),","),"")</f>
        <v/>
      </c>
      <c r="L125" s="1" t="str">
        <f t="array" ref="L125">IFERROR(CONCATENATE((INDEX($N$7:$N$78,SMALL(IF($N$7:$N$78&lt;&gt;"",IF($K$7:$K$78&lt;&gt;"",ROW($K$7:$K$78)-MIN(ROW($K$7:$K$78))+1,""),""),ROW()-ROW(A$80)+1))),","),"")</f>
        <v/>
      </c>
      <c r="M125" s="1" t="str">
        <f t="array" ref="M125">IFERROR(CONCATENATE((INDEX($A$7:$A$78,SMALL(IF($N$7:$N$78&lt;&gt;"",IF($K$7:$K$78&lt;&gt;"",ROW($K$7:$K$78)-MIN(ROW($K$7:$K$78))+1,""),""),ROW()-ROW(A$80)+1))),),"")</f>
        <v/>
      </c>
      <c r="Q125" s="1" t="str">
        <f t="array" ref="Q125">IFERROR(CONCATENATE((INDEX($T$7:$T$78,SMALL(IF($T$7:$T$78&lt;&gt;"",IF($Q$7:$Q$78&lt;&gt;"",ROW($Q$7:$Q$78)-MIN(ROW($Q$7:$Q$78))+1,""),""),ROW()-ROW(A$80)+1)))," "),"")</f>
        <v/>
      </c>
      <c r="R125" s="1" t="str">
        <f t="array" ref="R125">IFERROR(CONCATENATE(TEXT(INDEX($Q$7:$Q$78,SMALL(IF($T$7:$T$78&lt;&gt;"",IF($Q$7:$Q$78&lt;&gt;"",ROW($Q$7:$Q$78)-MIN(ROW($Q$7:$Q$78))+1,""),""),ROW()-ROW(A$80)+1)),"##0")," "),"")</f>
        <v/>
      </c>
      <c r="S125" s="1" t="str">
        <f t="array" ref="S125">IFERROR(CONCATENATE((INDEX($A$7:$A$78,SMALL(IF($T$7:$T$78&lt;&gt;"",IF($Q$7:$Q$78&lt;&gt;"",ROW($Q$7:$Q$78)-MIN(ROW($Q$7:$Q$78))+1,""),""),ROW()-ROW(A$80)+1))),),"")</f>
        <v/>
      </c>
      <c r="W125" s="1" t="str">
        <f t="array" ref="W125">IFERROR(CONCATENATE((INDEX($Z$7:$Z$78,SMALL(IF($Z$7:$Z$78&lt;&gt;"",IF($W$7:$W$78&lt;&gt;"",ROW($W$7:$W$78)-MIN(ROW($W$7:$W$78))+1,""),""),ROW()-ROW(A$80)+1)))," "),"")</f>
        <v/>
      </c>
      <c r="X125" s="1" t="str">
        <f t="array" ref="X125">IFERROR(CONCATENATE(TEXT(INDEX($W$7:$W$78,SMALL(IF($Z$7:$Z$78&lt;&gt;"",IF($W$7:$W$78&lt;&gt;"",ROW($W$7:$W$78)-MIN(ROW($W$7:$W$78))+1,""),""),ROW()-ROW(A$80)+1)),"##0")," "),"")</f>
        <v/>
      </c>
      <c r="Y125" s="1" t="str">
        <f t="array" ref="Y125">IFERROR(CONCATENATE((INDEX($A$7:$A$78,SMALL(IF($Z$7:$Z$78&lt;&gt;"",IF($W$7:$W$78&lt;&gt;"",ROW($W$7:$W$78)-MIN(ROW($W$7:$W$78))+1,""),""),ROW()-ROW(A$80)+1))),),"")</f>
        <v/>
      </c>
      <c r="AC125" s="1" t="str">
        <f t="array" ref="AC125">IFERROR(CONCATENATE((INDEX($AF$7:$AF$78,SMALL(IF($AF$7:$AF$78&lt;&gt;"",IF($AC$7:$AC$78&lt;&gt;"",ROW($AC$7:$AC$78)-MIN(ROW($AC$7:$AC$78))+1,""),""),ROW()-ROW(A$80)+1))),","),"")</f>
        <v/>
      </c>
      <c r="AD125" s="1" t="str">
        <f t="array" ref="AD125">IFERROR(CONCATENATE(TEXT(INDEX($AC$7:$AC$78,SMALL(IF($AF$7:$AF$78&lt;&gt;"",IF($AC$7:$AC$78&lt;&gt;"",ROW($AC$7:$AC$78)-MIN(ROW($AC$7:$AC$78))+1,""),""),ROW()-ROW(A$80)+1)),"##0"),","),"")</f>
        <v/>
      </c>
      <c r="AE125" s="1" t="str">
        <f t="array" ref="AE125">IFERROR(CONCATENATE((INDEX($A$7:$A$78,SMALL(IF($AF$7:$AF$78&lt;&gt;"",IF($AC$7:$AC$78&lt;&gt;"",ROW($AC$7:$AC$78)-MIN(ROW($AC$7:$AC$78))+1,""),""),ROW()-ROW(A$80)+1))),),"")</f>
        <v/>
      </c>
      <c r="AI125" s="1" t="str">
        <f t="array" ref="AI125">IFERROR(CONCATENATE((INDEX($AL$7:$AL$78,SMALL(IF($AL$7:$AL$78&lt;&gt;"",IF($AI$7:$AI$78&lt;&gt;"",ROW($AI$7:$AI$78)-MIN(ROW($AI$7:$AI$78))+1,""),""),ROW()-ROW(A$80)+1)))," "),"")</f>
        <v/>
      </c>
      <c r="AJ125" s="1" t="str">
        <f t="array" ref="AJ125">IFERROR(CONCATENATE(TEXT(INDEX($AI$7:$AI$78,SMALL(IF($AL$7:$AL$78&lt;&gt;"",IF($AI$7:$AI$78&lt;&gt;"",ROW($AI$7:$AI$78)-MIN(ROW($AI$7:$AI$78))+1,""),""),ROW()-ROW(A$80)+1)),"##0")," "),"")</f>
        <v/>
      </c>
      <c r="AK125" s="1" t="str">
        <f t="array" ref="AK125">IFERROR(CONCATENATE((INDEX($A$7:$A$78,SMALL(IF($AL$7:$AL$78&lt;&gt;"",IF($AI$7:$AI$78&lt;&gt;"",ROW($AI$7:$AI$78)-MIN(ROW($AI$7:$AI$78))+1,""),""),ROW()-ROW(A$80)+1))),),"")</f>
        <v/>
      </c>
    </row>
    <row r="126" spans="11:37" x14ac:dyDescent="0.25">
      <c r="K126" s="1" t="str">
        <f t="array" ref="K126">IFERROR(CONCATENATE(TEXT(INDEX($K$7:$K$78,SMALL(IF($N$7:$N$78&lt;&gt;"",IF($K$7:$K$78&lt;&gt;"",ROW($K$7:$K$78)-MIN(ROW($K$7:$K$78))+1,""),""),ROW()-ROW(A$80)+1)),"##0"),","),"")</f>
        <v/>
      </c>
      <c r="L126" s="1" t="str">
        <f t="array" ref="L126">IFERROR(CONCATENATE((INDEX($N$7:$N$78,SMALL(IF($N$7:$N$78&lt;&gt;"",IF($K$7:$K$78&lt;&gt;"",ROW($K$7:$K$78)-MIN(ROW($K$7:$K$78))+1,""),""),ROW()-ROW(A$80)+1))),","),"")</f>
        <v/>
      </c>
      <c r="M126" s="1" t="str">
        <f t="array" ref="M126">IFERROR(CONCATENATE((INDEX($A$7:$A$78,SMALL(IF($N$7:$N$78&lt;&gt;"",IF($K$7:$K$78&lt;&gt;"",ROW($K$7:$K$78)-MIN(ROW($K$7:$K$78))+1,""),""),ROW()-ROW(A$80)+1))),),"")</f>
        <v/>
      </c>
      <c r="Q126" s="1" t="str">
        <f t="array" ref="Q126">IFERROR(CONCATENATE((INDEX($T$7:$T$78,SMALL(IF($T$7:$T$78&lt;&gt;"",IF($Q$7:$Q$78&lt;&gt;"",ROW($Q$7:$Q$78)-MIN(ROW($Q$7:$Q$78))+1,""),""),ROW()-ROW(A$80)+1)))," "),"")</f>
        <v/>
      </c>
      <c r="R126" s="1" t="str">
        <f t="array" ref="R126">IFERROR(CONCATENATE(TEXT(INDEX($Q$7:$Q$78,SMALL(IF($T$7:$T$78&lt;&gt;"",IF($Q$7:$Q$78&lt;&gt;"",ROW($Q$7:$Q$78)-MIN(ROW($Q$7:$Q$78))+1,""),""),ROW()-ROW(A$80)+1)),"##0")," "),"")</f>
        <v/>
      </c>
      <c r="S126" s="1" t="str">
        <f t="array" ref="S126">IFERROR(CONCATENATE((INDEX($A$7:$A$78,SMALL(IF($T$7:$T$78&lt;&gt;"",IF($Q$7:$Q$78&lt;&gt;"",ROW($Q$7:$Q$78)-MIN(ROW($Q$7:$Q$78))+1,""),""),ROW()-ROW(A$80)+1))),),"")</f>
        <v/>
      </c>
      <c r="W126" s="1" t="str">
        <f t="array" ref="W126">IFERROR(CONCATENATE((INDEX($Z$7:$Z$78,SMALL(IF($Z$7:$Z$78&lt;&gt;"",IF($W$7:$W$78&lt;&gt;"",ROW($W$7:$W$78)-MIN(ROW($W$7:$W$78))+1,""),""),ROW()-ROW(A$80)+1)))," "),"")</f>
        <v/>
      </c>
      <c r="X126" s="1" t="str">
        <f t="array" ref="X126">IFERROR(CONCATENATE(TEXT(INDEX($W$7:$W$78,SMALL(IF($Z$7:$Z$78&lt;&gt;"",IF($W$7:$W$78&lt;&gt;"",ROW($W$7:$W$78)-MIN(ROW($W$7:$W$78))+1,""),""),ROW()-ROW(A$80)+1)),"##0")," "),"")</f>
        <v/>
      </c>
      <c r="Y126" s="1" t="str">
        <f t="array" ref="Y126">IFERROR(CONCATENATE((INDEX($A$7:$A$78,SMALL(IF($Z$7:$Z$78&lt;&gt;"",IF($W$7:$W$78&lt;&gt;"",ROW($W$7:$W$78)-MIN(ROW($W$7:$W$78))+1,""),""),ROW()-ROW(A$80)+1))),),"")</f>
        <v/>
      </c>
      <c r="AC126" s="1" t="str">
        <f t="array" ref="AC126">IFERROR(CONCATENATE((INDEX($AF$7:$AF$78,SMALL(IF($AF$7:$AF$78&lt;&gt;"",IF($AC$7:$AC$78&lt;&gt;"",ROW($AC$7:$AC$78)-MIN(ROW($AC$7:$AC$78))+1,""),""),ROW()-ROW(A$80)+1))),","),"")</f>
        <v/>
      </c>
      <c r="AD126" s="1" t="str">
        <f t="array" ref="AD126">IFERROR(CONCATENATE(TEXT(INDEX($AC$7:$AC$78,SMALL(IF($AF$7:$AF$78&lt;&gt;"",IF($AC$7:$AC$78&lt;&gt;"",ROW($AC$7:$AC$78)-MIN(ROW($AC$7:$AC$78))+1,""),""),ROW()-ROW(A$80)+1)),"##0"),","),"")</f>
        <v/>
      </c>
      <c r="AE126" s="1" t="str">
        <f t="array" ref="AE126">IFERROR(CONCATENATE((INDEX($A$7:$A$78,SMALL(IF($AF$7:$AF$78&lt;&gt;"",IF($AC$7:$AC$78&lt;&gt;"",ROW($AC$7:$AC$78)-MIN(ROW($AC$7:$AC$78))+1,""),""),ROW()-ROW(A$80)+1))),),"")</f>
        <v/>
      </c>
      <c r="AI126" s="1" t="str">
        <f t="array" ref="AI126">IFERROR(CONCATENATE((INDEX($AL$7:$AL$78,SMALL(IF($AL$7:$AL$78&lt;&gt;"",IF($AI$7:$AI$78&lt;&gt;"",ROW($AI$7:$AI$78)-MIN(ROW($AI$7:$AI$78))+1,""),""),ROW()-ROW(A$80)+1)))," "),"")</f>
        <v/>
      </c>
      <c r="AJ126" s="1" t="str">
        <f t="array" ref="AJ126">IFERROR(CONCATENATE(TEXT(INDEX($AI$7:$AI$78,SMALL(IF($AL$7:$AL$78&lt;&gt;"",IF($AI$7:$AI$78&lt;&gt;"",ROW($AI$7:$AI$78)-MIN(ROW($AI$7:$AI$78))+1,""),""),ROW()-ROW(A$80)+1)),"##0")," "),"")</f>
        <v/>
      </c>
      <c r="AK126" s="1" t="str">
        <f t="array" ref="AK126">IFERROR(CONCATENATE((INDEX($A$7:$A$78,SMALL(IF($AL$7:$AL$78&lt;&gt;"",IF($AI$7:$AI$78&lt;&gt;"",ROW($AI$7:$AI$78)-MIN(ROW($AI$7:$AI$78))+1,""),""),ROW()-ROW(A$80)+1))),),"")</f>
        <v/>
      </c>
    </row>
    <row r="127" spans="11:37" x14ac:dyDescent="0.25">
      <c r="K127" s="1" t="str">
        <f t="array" ref="K127">IFERROR(CONCATENATE(TEXT(INDEX($K$7:$K$78,SMALL(IF($N$7:$N$78&lt;&gt;"",IF($K$7:$K$78&lt;&gt;"",ROW($K$7:$K$78)-MIN(ROW($K$7:$K$78))+1,""),""),ROW()-ROW(A$80)+1)),"##0"),","),"")</f>
        <v/>
      </c>
      <c r="L127" s="1" t="str">
        <f t="array" ref="L127">IFERROR(CONCATENATE((INDEX($N$7:$N$78,SMALL(IF($N$7:$N$78&lt;&gt;"",IF($K$7:$K$78&lt;&gt;"",ROW($K$7:$K$78)-MIN(ROW($K$7:$K$78))+1,""),""),ROW()-ROW(A$80)+1))),","),"")</f>
        <v/>
      </c>
      <c r="M127" s="1" t="str">
        <f t="array" ref="M127">IFERROR(CONCATENATE((INDEX($A$7:$A$78,SMALL(IF($N$7:$N$78&lt;&gt;"",IF($K$7:$K$78&lt;&gt;"",ROW($K$7:$K$78)-MIN(ROW($K$7:$K$78))+1,""),""),ROW()-ROW(A$80)+1))),),"")</f>
        <v/>
      </c>
      <c r="Q127" s="1" t="str">
        <f t="array" ref="Q127">IFERROR(CONCATENATE((INDEX($T$7:$T$78,SMALL(IF($T$7:$T$78&lt;&gt;"",IF($Q$7:$Q$78&lt;&gt;"",ROW($Q$7:$Q$78)-MIN(ROW($Q$7:$Q$78))+1,""),""),ROW()-ROW(A$80)+1)))," "),"")</f>
        <v/>
      </c>
      <c r="R127" s="1" t="str">
        <f t="array" ref="R127">IFERROR(CONCATENATE(TEXT(INDEX($Q$7:$Q$78,SMALL(IF($T$7:$T$78&lt;&gt;"",IF($Q$7:$Q$78&lt;&gt;"",ROW($Q$7:$Q$78)-MIN(ROW($Q$7:$Q$78))+1,""),""),ROW()-ROW(A$80)+1)),"##0")," "),"")</f>
        <v/>
      </c>
      <c r="S127" s="1" t="str">
        <f t="array" ref="S127">IFERROR(CONCATENATE((INDEX($A$7:$A$78,SMALL(IF($T$7:$T$78&lt;&gt;"",IF($Q$7:$Q$78&lt;&gt;"",ROW($Q$7:$Q$78)-MIN(ROW($Q$7:$Q$78))+1,""),""),ROW()-ROW(A$80)+1))),),"")</f>
        <v/>
      </c>
      <c r="W127" s="1" t="str">
        <f t="array" ref="W127">IFERROR(CONCATENATE((INDEX($Z$7:$Z$78,SMALL(IF($Z$7:$Z$78&lt;&gt;"",IF($W$7:$W$78&lt;&gt;"",ROW($W$7:$W$78)-MIN(ROW($W$7:$W$78))+1,""),""),ROW()-ROW(A$80)+1)))," "),"")</f>
        <v/>
      </c>
      <c r="X127" s="1" t="str">
        <f t="array" ref="X127">IFERROR(CONCATENATE(TEXT(INDEX($W$7:$W$78,SMALL(IF($Z$7:$Z$78&lt;&gt;"",IF($W$7:$W$78&lt;&gt;"",ROW($W$7:$W$78)-MIN(ROW($W$7:$W$78))+1,""),""),ROW()-ROW(A$80)+1)),"##0")," "),"")</f>
        <v/>
      </c>
      <c r="Y127" s="1" t="str">
        <f t="array" ref="Y127">IFERROR(CONCATENATE((INDEX($A$7:$A$78,SMALL(IF($Z$7:$Z$78&lt;&gt;"",IF($W$7:$W$78&lt;&gt;"",ROW($W$7:$W$78)-MIN(ROW($W$7:$W$78))+1,""),""),ROW()-ROW(A$80)+1))),),"")</f>
        <v/>
      </c>
      <c r="AC127" s="1" t="str">
        <f t="array" ref="AC127">IFERROR(CONCATENATE((INDEX($AF$7:$AF$78,SMALL(IF($AF$7:$AF$78&lt;&gt;"",IF($AC$7:$AC$78&lt;&gt;"",ROW($AC$7:$AC$78)-MIN(ROW($AC$7:$AC$78))+1,""),""),ROW()-ROW(A$80)+1))),","),"")</f>
        <v/>
      </c>
      <c r="AD127" s="1" t="str">
        <f t="array" ref="AD127">IFERROR(CONCATENATE(TEXT(INDEX($AC$7:$AC$78,SMALL(IF($AF$7:$AF$78&lt;&gt;"",IF($AC$7:$AC$78&lt;&gt;"",ROW($AC$7:$AC$78)-MIN(ROW($AC$7:$AC$78))+1,""),""),ROW()-ROW(A$80)+1)),"##0"),","),"")</f>
        <v/>
      </c>
      <c r="AE127" s="1" t="str">
        <f t="array" ref="AE127">IFERROR(CONCATENATE((INDEX($A$7:$A$78,SMALL(IF($AF$7:$AF$78&lt;&gt;"",IF($AC$7:$AC$78&lt;&gt;"",ROW($AC$7:$AC$78)-MIN(ROW($AC$7:$AC$78))+1,""),""),ROW()-ROW(A$80)+1))),),"")</f>
        <v/>
      </c>
      <c r="AI127" s="1" t="str">
        <f t="array" ref="AI127">IFERROR(CONCATENATE((INDEX($AL$7:$AL$78,SMALL(IF($AL$7:$AL$78&lt;&gt;"",IF($AI$7:$AI$78&lt;&gt;"",ROW($AI$7:$AI$78)-MIN(ROW($AI$7:$AI$78))+1,""),""),ROW()-ROW(A$80)+1)))," "),"")</f>
        <v/>
      </c>
      <c r="AJ127" s="1" t="str">
        <f t="array" ref="AJ127">IFERROR(CONCATENATE(TEXT(INDEX($AI$7:$AI$78,SMALL(IF($AL$7:$AL$78&lt;&gt;"",IF($AI$7:$AI$78&lt;&gt;"",ROW($AI$7:$AI$78)-MIN(ROW($AI$7:$AI$78))+1,""),""),ROW()-ROW(A$80)+1)),"##0")," "),"")</f>
        <v/>
      </c>
      <c r="AK127" s="1" t="str">
        <f t="array" ref="AK127">IFERROR(CONCATENATE((INDEX($A$7:$A$78,SMALL(IF($AL$7:$AL$78&lt;&gt;"",IF($AI$7:$AI$78&lt;&gt;"",ROW($AI$7:$AI$78)-MIN(ROW($AI$7:$AI$78))+1,""),""),ROW()-ROW(A$80)+1))),),"")</f>
        <v/>
      </c>
    </row>
    <row r="128" spans="11:37" x14ac:dyDescent="0.25">
      <c r="K128" s="1" t="str">
        <f t="array" ref="K128">IFERROR(CONCATENATE(TEXT(INDEX($K$7:$K$78,SMALL(IF($N$7:$N$78&lt;&gt;"",IF($K$7:$K$78&lt;&gt;"",ROW($K$7:$K$78)-MIN(ROW($K$7:$K$78))+1,""),""),ROW()-ROW(A$80)+1)),"##0"),","),"")</f>
        <v/>
      </c>
      <c r="L128" s="1" t="str">
        <f t="array" ref="L128">IFERROR(CONCATENATE((INDEX($N$7:$N$78,SMALL(IF($N$7:$N$78&lt;&gt;"",IF($K$7:$K$78&lt;&gt;"",ROW($K$7:$K$78)-MIN(ROW($K$7:$K$78))+1,""),""),ROW()-ROW(A$80)+1))),","),"")</f>
        <v/>
      </c>
      <c r="M128" s="1" t="str">
        <f t="array" ref="M128">IFERROR(CONCATENATE((INDEX($A$7:$A$78,SMALL(IF($N$7:$N$78&lt;&gt;"",IF($K$7:$K$78&lt;&gt;"",ROW($K$7:$K$78)-MIN(ROW($K$7:$K$78))+1,""),""),ROW()-ROW(A$80)+1))),),"")</f>
        <v/>
      </c>
      <c r="Q128" s="1" t="str">
        <f t="array" ref="Q128">IFERROR(CONCATENATE((INDEX($T$7:$T$78,SMALL(IF($T$7:$T$78&lt;&gt;"",IF($Q$7:$Q$78&lt;&gt;"",ROW($Q$7:$Q$78)-MIN(ROW($Q$7:$Q$78))+1,""),""),ROW()-ROW(A$80)+1)))," "),"")</f>
        <v/>
      </c>
      <c r="R128" s="1" t="str">
        <f t="array" ref="R128">IFERROR(CONCATENATE(TEXT(INDEX($Q$7:$Q$78,SMALL(IF($T$7:$T$78&lt;&gt;"",IF($Q$7:$Q$78&lt;&gt;"",ROW($Q$7:$Q$78)-MIN(ROW($Q$7:$Q$78))+1,""),""),ROW()-ROW(A$80)+1)),"##0")," "),"")</f>
        <v/>
      </c>
      <c r="S128" s="1" t="str">
        <f t="array" ref="S128">IFERROR(CONCATENATE((INDEX($A$7:$A$78,SMALL(IF($T$7:$T$78&lt;&gt;"",IF($Q$7:$Q$78&lt;&gt;"",ROW($Q$7:$Q$78)-MIN(ROW($Q$7:$Q$78))+1,""),""),ROW()-ROW(A$80)+1))),),"")</f>
        <v/>
      </c>
      <c r="W128" s="1" t="str">
        <f t="array" ref="W128">IFERROR(CONCATENATE((INDEX($Z$7:$Z$78,SMALL(IF($Z$7:$Z$78&lt;&gt;"",IF($W$7:$W$78&lt;&gt;"",ROW($W$7:$W$78)-MIN(ROW($W$7:$W$78))+1,""),""),ROW()-ROW(A$80)+1)))," "),"")</f>
        <v/>
      </c>
      <c r="X128" s="1" t="str">
        <f t="array" ref="X128">IFERROR(CONCATENATE(TEXT(INDEX($W$7:$W$78,SMALL(IF($Z$7:$Z$78&lt;&gt;"",IF($W$7:$W$78&lt;&gt;"",ROW($W$7:$W$78)-MIN(ROW($W$7:$W$78))+1,""),""),ROW()-ROW(A$80)+1)),"##0")," "),"")</f>
        <v/>
      </c>
      <c r="Y128" s="1" t="str">
        <f t="array" ref="Y128">IFERROR(CONCATENATE((INDEX($A$7:$A$78,SMALL(IF($Z$7:$Z$78&lt;&gt;"",IF($W$7:$W$78&lt;&gt;"",ROW($W$7:$W$78)-MIN(ROW($W$7:$W$78))+1,""),""),ROW()-ROW(A$80)+1))),),"")</f>
        <v/>
      </c>
      <c r="AC128" s="1" t="str">
        <f t="array" ref="AC128">IFERROR(CONCATENATE((INDEX($AF$7:$AF$78,SMALL(IF($AF$7:$AF$78&lt;&gt;"",IF($AC$7:$AC$78&lt;&gt;"",ROW($AC$7:$AC$78)-MIN(ROW($AC$7:$AC$78))+1,""),""),ROW()-ROW(A$80)+1))),","),"")</f>
        <v/>
      </c>
      <c r="AD128" s="1" t="str">
        <f t="array" ref="AD128">IFERROR(CONCATENATE(TEXT(INDEX($AC$7:$AC$78,SMALL(IF($AF$7:$AF$78&lt;&gt;"",IF($AC$7:$AC$78&lt;&gt;"",ROW($AC$7:$AC$78)-MIN(ROW($AC$7:$AC$78))+1,""),""),ROW()-ROW(A$80)+1)),"##0"),","),"")</f>
        <v/>
      </c>
      <c r="AE128" s="1" t="str">
        <f t="array" ref="AE128">IFERROR(CONCATENATE((INDEX($A$7:$A$78,SMALL(IF($AF$7:$AF$78&lt;&gt;"",IF($AC$7:$AC$78&lt;&gt;"",ROW($AC$7:$AC$78)-MIN(ROW($AC$7:$AC$78))+1,""),""),ROW()-ROW(A$80)+1))),),"")</f>
        <v/>
      </c>
      <c r="AI128" s="1" t="str">
        <f t="array" ref="AI128">IFERROR(CONCATENATE((INDEX($AL$7:$AL$78,SMALL(IF($AL$7:$AL$78&lt;&gt;"",IF($AI$7:$AI$78&lt;&gt;"",ROW($AI$7:$AI$78)-MIN(ROW($AI$7:$AI$78))+1,""),""),ROW()-ROW(A$80)+1)))," "),"")</f>
        <v/>
      </c>
      <c r="AJ128" s="1" t="str">
        <f t="array" ref="AJ128">IFERROR(CONCATENATE(TEXT(INDEX($AI$7:$AI$78,SMALL(IF($AL$7:$AL$78&lt;&gt;"",IF($AI$7:$AI$78&lt;&gt;"",ROW($AI$7:$AI$78)-MIN(ROW($AI$7:$AI$78))+1,""),""),ROW()-ROW(A$80)+1)),"##0")," "),"")</f>
        <v/>
      </c>
      <c r="AK128" s="1" t="str">
        <f t="array" ref="AK128">IFERROR(CONCATENATE((INDEX($A$7:$A$78,SMALL(IF($AL$7:$AL$78&lt;&gt;"",IF($AI$7:$AI$78&lt;&gt;"",ROW($AI$7:$AI$78)-MIN(ROW($AI$7:$AI$78))+1,""),""),ROW()-ROW(A$80)+1))),),"")</f>
        <v/>
      </c>
    </row>
    <row r="129" spans="11:37" x14ac:dyDescent="0.25">
      <c r="K129" s="1" t="str">
        <f t="array" ref="K129">IFERROR(CONCATENATE(TEXT(INDEX($K$7:$K$78,SMALL(IF($N$7:$N$78&lt;&gt;"",IF($K$7:$K$78&lt;&gt;"",ROW($K$7:$K$78)-MIN(ROW($K$7:$K$78))+1,""),""),ROW()-ROW(A$80)+1)),"##0"),","),"")</f>
        <v/>
      </c>
      <c r="L129" s="1" t="str">
        <f t="array" ref="L129">IFERROR(CONCATENATE((INDEX($N$7:$N$78,SMALL(IF($N$7:$N$78&lt;&gt;"",IF($K$7:$K$78&lt;&gt;"",ROW($K$7:$K$78)-MIN(ROW($K$7:$K$78))+1,""),""),ROW()-ROW(A$80)+1))),","),"")</f>
        <v/>
      </c>
      <c r="M129" s="1" t="str">
        <f t="array" ref="M129">IFERROR(CONCATENATE((INDEX($A$7:$A$78,SMALL(IF($N$7:$N$78&lt;&gt;"",IF($K$7:$K$78&lt;&gt;"",ROW($K$7:$K$78)-MIN(ROW($K$7:$K$78))+1,""),""),ROW()-ROW(A$80)+1))),),"")</f>
        <v/>
      </c>
      <c r="Q129" s="1" t="str">
        <f t="array" ref="Q129">IFERROR(CONCATENATE((INDEX($T$7:$T$78,SMALL(IF($T$7:$T$78&lt;&gt;"",IF($Q$7:$Q$78&lt;&gt;"",ROW($Q$7:$Q$78)-MIN(ROW($Q$7:$Q$78))+1,""),""),ROW()-ROW(A$80)+1)))," "),"")</f>
        <v/>
      </c>
      <c r="R129" s="1" t="str">
        <f t="array" ref="R129">IFERROR(CONCATENATE(TEXT(INDEX($Q$7:$Q$78,SMALL(IF($T$7:$T$78&lt;&gt;"",IF($Q$7:$Q$78&lt;&gt;"",ROW($Q$7:$Q$78)-MIN(ROW($Q$7:$Q$78))+1,""),""),ROW()-ROW(A$80)+1)),"##0")," "),"")</f>
        <v/>
      </c>
      <c r="S129" s="1" t="str">
        <f t="array" ref="S129">IFERROR(CONCATENATE((INDEX($A$7:$A$78,SMALL(IF($T$7:$T$78&lt;&gt;"",IF($Q$7:$Q$78&lt;&gt;"",ROW($Q$7:$Q$78)-MIN(ROW($Q$7:$Q$78))+1,""),""),ROW()-ROW(A$80)+1))),),"")</f>
        <v/>
      </c>
      <c r="W129" s="1" t="str">
        <f t="array" ref="W129">IFERROR(CONCATENATE((INDEX($Z$7:$Z$78,SMALL(IF($Z$7:$Z$78&lt;&gt;"",IF($W$7:$W$78&lt;&gt;"",ROW($W$7:$W$78)-MIN(ROW($W$7:$W$78))+1,""),""),ROW()-ROW(A$80)+1)))," "),"")</f>
        <v/>
      </c>
      <c r="X129" s="1" t="str">
        <f t="array" ref="X129">IFERROR(CONCATENATE(TEXT(INDEX($W$7:$W$78,SMALL(IF($Z$7:$Z$78&lt;&gt;"",IF($W$7:$W$78&lt;&gt;"",ROW($W$7:$W$78)-MIN(ROW($W$7:$W$78))+1,""),""),ROW()-ROW(A$80)+1)),"##0")," "),"")</f>
        <v/>
      </c>
      <c r="Y129" s="1" t="str">
        <f t="array" ref="Y129">IFERROR(CONCATENATE((INDEX($A$7:$A$78,SMALL(IF($Z$7:$Z$78&lt;&gt;"",IF($W$7:$W$78&lt;&gt;"",ROW($W$7:$W$78)-MIN(ROW($W$7:$W$78))+1,""),""),ROW()-ROW(A$80)+1))),),"")</f>
        <v/>
      </c>
      <c r="AC129" s="1" t="str">
        <f t="array" ref="AC129">IFERROR(CONCATENATE((INDEX($AF$7:$AF$78,SMALL(IF($AF$7:$AF$78&lt;&gt;"",IF($AC$7:$AC$78&lt;&gt;"",ROW($AC$7:$AC$78)-MIN(ROW($AC$7:$AC$78))+1,""),""),ROW()-ROW(A$80)+1))),","),"")</f>
        <v/>
      </c>
      <c r="AD129" s="1" t="str">
        <f t="array" ref="AD129">IFERROR(CONCATENATE(TEXT(INDEX($AC$7:$AC$78,SMALL(IF($AF$7:$AF$78&lt;&gt;"",IF($AC$7:$AC$78&lt;&gt;"",ROW($AC$7:$AC$78)-MIN(ROW($AC$7:$AC$78))+1,""),""),ROW()-ROW(A$80)+1)),"##0"),","),"")</f>
        <v/>
      </c>
      <c r="AE129" s="1" t="str">
        <f t="array" ref="AE129">IFERROR(CONCATENATE((INDEX($A$7:$A$78,SMALL(IF($AF$7:$AF$78&lt;&gt;"",IF($AC$7:$AC$78&lt;&gt;"",ROW($AC$7:$AC$78)-MIN(ROW($AC$7:$AC$78))+1,""),""),ROW()-ROW(A$80)+1))),),"")</f>
        <v/>
      </c>
      <c r="AI129" s="1" t="str">
        <f t="array" ref="AI129">IFERROR(CONCATENATE((INDEX($AL$7:$AL$78,SMALL(IF($AL$7:$AL$78&lt;&gt;"",IF($AI$7:$AI$78&lt;&gt;"",ROW($AI$7:$AI$78)-MIN(ROW($AI$7:$AI$78))+1,""),""),ROW()-ROW(A$80)+1)))," "),"")</f>
        <v/>
      </c>
      <c r="AJ129" s="1" t="str">
        <f t="array" ref="AJ129">IFERROR(CONCATENATE(TEXT(INDEX($AI$7:$AI$78,SMALL(IF($AL$7:$AL$78&lt;&gt;"",IF($AI$7:$AI$78&lt;&gt;"",ROW($AI$7:$AI$78)-MIN(ROW($AI$7:$AI$78))+1,""),""),ROW()-ROW(A$80)+1)),"##0")," "),"")</f>
        <v/>
      </c>
      <c r="AK129" s="1" t="str">
        <f t="array" ref="AK129">IFERROR(CONCATENATE((INDEX($A$7:$A$78,SMALL(IF($AL$7:$AL$78&lt;&gt;"",IF($AI$7:$AI$78&lt;&gt;"",ROW($AI$7:$AI$78)-MIN(ROW($AI$7:$AI$78))+1,""),""),ROW()-ROW(A$80)+1))),),"")</f>
        <v/>
      </c>
    </row>
    <row r="130" spans="11:37" x14ac:dyDescent="0.25">
      <c r="K130" s="1" t="str">
        <f t="array" ref="K130">IFERROR(CONCATENATE(TEXT(INDEX($K$7:$K$78,SMALL(IF($N$7:$N$78&lt;&gt;"",IF($K$7:$K$78&lt;&gt;"",ROW($K$7:$K$78)-MIN(ROW($K$7:$K$78))+1,""),""),ROW()-ROW(A$80)+1)),"##0"),","),"")</f>
        <v/>
      </c>
      <c r="L130" s="1" t="str">
        <f t="array" ref="L130">IFERROR(CONCATENATE((INDEX($N$7:$N$78,SMALL(IF($N$7:$N$78&lt;&gt;"",IF($K$7:$K$78&lt;&gt;"",ROW($K$7:$K$78)-MIN(ROW($K$7:$K$78))+1,""),""),ROW()-ROW(A$80)+1))),","),"")</f>
        <v/>
      </c>
      <c r="M130" s="1" t="str">
        <f t="array" ref="M130">IFERROR(CONCATENATE((INDEX($A$7:$A$78,SMALL(IF($N$7:$N$78&lt;&gt;"",IF($K$7:$K$78&lt;&gt;"",ROW($K$7:$K$78)-MIN(ROW($K$7:$K$78))+1,""),""),ROW()-ROW(A$80)+1))),),"")</f>
        <v/>
      </c>
      <c r="Q130" s="1" t="str">
        <f t="array" ref="Q130">IFERROR(CONCATENATE((INDEX($T$7:$T$78,SMALL(IF($T$7:$T$78&lt;&gt;"",IF($Q$7:$Q$78&lt;&gt;"",ROW($Q$7:$Q$78)-MIN(ROW($Q$7:$Q$78))+1,""),""),ROW()-ROW(A$80)+1)))," "),"")</f>
        <v/>
      </c>
      <c r="R130" s="1" t="str">
        <f t="array" ref="R130">IFERROR(CONCATENATE(TEXT(INDEX($Q$7:$Q$78,SMALL(IF($T$7:$T$78&lt;&gt;"",IF($Q$7:$Q$78&lt;&gt;"",ROW($Q$7:$Q$78)-MIN(ROW($Q$7:$Q$78))+1,""),""),ROW()-ROW(A$80)+1)),"##0")," "),"")</f>
        <v/>
      </c>
      <c r="S130" s="1" t="str">
        <f t="array" ref="S130">IFERROR(CONCATENATE((INDEX($A$7:$A$78,SMALL(IF($T$7:$T$78&lt;&gt;"",IF($Q$7:$Q$78&lt;&gt;"",ROW($Q$7:$Q$78)-MIN(ROW($Q$7:$Q$78))+1,""),""),ROW()-ROW(A$80)+1))),),"")</f>
        <v/>
      </c>
      <c r="W130" s="1" t="str">
        <f t="array" ref="W130">IFERROR(CONCATENATE((INDEX($Z$7:$Z$78,SMALL(IF($Z$7:$Z$78&lt;&gt;"",IF($W$7:$W$78&lt;&gt;"",ROW($W$7:$W$78)-MIN(ROW($W$7:$W$78))+1,""),""),ROW()-ROW(A$80)+1)))," "),"")</f>
        <v/>
      </c>
      <c r="X130" s="1" t="str">
        <f t="array" ref="X130">IFERROR(CONCATENATE(TEXT(INDEX($W$7:$W$78,SMALL(IF($Z$7:$Z$78&lt;&gt;"",IF($W$7:$W$78&lt;&gt;"",ROW($W$7:$W$78)-MIN(ROW($W$7:$W$78))+1,""),""),ROW()-ROW(A$80)+1)),"##0")," "),"")</f>
        <v/>
      </c>
      <c r="Y130" s="1" t="str">
        <f t="array" ref="Y130">IFERROR(CONCATENATE((INDEX($A$7:$A$78,SMALL(IF($Z$7:$Z$78&lt;&gt;"",IF($W$7:$W$78&lt;&gt;"",ROW($W$7:$W$78)-MIN(ROW($W$7:$W$78))+1,""),""),ROW()-ROW(A$80)+1))),),"")</f>
        <v/>
      </c>
      <c r="AC130" s="1" t="str">
        <f t="array" ref="AC130">IFERROR(CONCATENATE((INDEX($AF$7:$AF$78,SMALL(IF($AF$7:$AF$78&lt;&gt;"",IF($AC$7:$AC$78&lt;&gt;"",ROW($AC$7:$AC$78)-MIN(ROW($AC$7:$AC$78))+1,""),""),ROW()-ROW(A$80)+1))),","),"")</f>
        <v/>
      </c>
      <c r="AD130" s="1" t="str">
        <f t="array" ref="AD130">IFERROR(CONCATENATE(TEXT(INDEX($AC$7:$AC$78,SMALL(IF($AF$7:$AF$78&lt;&gt;"",IF($AC$7:$AC$78&lt;&gt;"",ROW($AC$7:$AC$78)-MIN(ROW($AC$7:$AC$78))+1,""),""),ROW()-ROW(A$80)+1)),"##0"),","),"")</f>
        <v/>
      </c>
      <c r="AE130" s="1" t="str">
        <f t="array" ref="AE130">IFERROR(CONCATENATE((INDEX($A$7:$A$78,SMALL(IF($AF$7:$AF$78&lt;&gt;"",IF($AC$7:$AC$78&lt;&gt;"",ROW($AC$7:$AC$78)-MIN(ROW($AC$7:$AC$78))+1,""),""),ROW()-ROW(A$80)+1))),),"")</f>
        <v/>
      </c>
      <c r="AI130" s="1" t="str">
        <f t="array" ref="AI130">IFERROR(CONCATENATE((INDEX($AL$7:$AL$78,SMALL(IF($AL$7:$AL$78&lt;&gt;"",IF($AI$7:$AI$78&lt;&gt;"",ROW($AI$7:$AI$78)-MIN(ROW($AI$7:$AI$78))+1,""),""),ROW()-ROW(A$80)+1)))," "),"")</f>
        <v/>
      </c>
      <c r="AJ130" s="1" t="str">
        <f t="array" ref="AJ130">IFERROR(CONCATENATE(TEXT(INDEX($AI$7:$AI$78,SMALL(IF($AL$7:$AL$78&lt;&gt;"",IF($AI$7:$AI$78&lt;&gt;"",ROW($AI$7:$AI$78)-MIN(ROW($AI$7:$AI$78))+1,""),""),ROW()-ROW(A$80)+1)),"##0")," "),"")</f>
        <v/>
      </c>
      <c r="AK130" s="1" t="str">
        <f t="array" ref="AK130">IFERROR(CONCATENATE((INDEX($A$7:$A$78,SMALL(IF($AL$7:$AL$78&lt;&gt;"",IF($AI$7:$AI$78&lt;&gt;"",ROW($AI$7:$AI$78)-MIN(ROW($AI$7:$AI$78))+1,""),""),ROW()-ROW(A$80)+1))),),"")</f>
        <v/>
      </c>
    </row>
    <row r="131" spans="11:37" x14ac:dyDescent="0.25">
      <c r="K131" s="1" t="str">
        <f t="array" ref="K131">IFERROR(CONCATENATE(TEXT(INDEX($K$7:$K$78,SMALL(IF($N$7:$N$78&lt;&gt;"",IF($K$7:$K$78&lt;&gt;"",ROW($K$7:$K$78)-MIN(ROW($K$7:$K$78))+1,""),""),ROW()-ROW(A$80)+1)),"##0"),","),"")</f>
        <v/>
      </c>
      <c r="L131" s="1" t="str">
        <f t="array" ref="L131">IFERROR(CONCATENATE((INDEX($N$7:$N$78,SMALL(IF($N$7:$N$78&lt;&gt;"",IF($K$7:$K$78&lt;&gt;"",ROW($K$7:$K$78)-MIN(ROW($K$7:$K$78))+1,""),""),ROW()-ROW(A$80)+1))),","),"")</f>
        <v/>
      </c>
      <c r="M131" s="1" t="str">
        <f t="array" ref="M131">IFERROR(CONCATENATE((INDEX($A$7:$A$78,SMALL(IF($N$7:$N$78&lt;&gt;"",IF($K$7:$K$78&lt;&gt;"",ROW($K$7:$K$78)-MIN(ROW($K$7:$K$78))+1,""),""),ROW()-ROW(A$80)+1))),),"")</f>
        <v/>
      </c>
      <c r="Q131" s="1" t="str">
        <f t="array" ref="Q131">IFERROR(CONCATENATE((INDEX($T$7:$T$78,SMALL(IF($T$7:$T$78&lt;&gt;"",IF($Q$7:$Q$78&lt;&gt;"",ROW($Q$7:$Q$78)-MIN(ROW($Q$7:$Q$78))+1,""),""),ROW()-ROW(A$80)+1)))," "),"")</f>
        <v/>
      </c>
      <c r="R131" s="1" t="str">
        <f t="array" ref="R131">IFERROR(CONCATENATE(TEXT(INDEX($Q$7:$Q$78,SMALL(IF($T$7:$T$78&lt;&gt;"",IF($Q$7:$Q$78&lt;&gt;"",ROW($Q$7:$Q$78)-MIN(ROW($Q$7:$Q$78))+1,""),""),ROW()-ROW(A$80)+1)),"##0")," "),"")</f>
        <v/>
      </c>
      <c r="S131" s="1" t="str">
        <f t="array" ref="S131">IFERROR(CONCATENATE((INDEX($A$7:$A$78,SMALL(IF($T$7:$T$78&lt;&gt;"",IF($Q$7:$Q$78&lt;&gt;"",ROW($Q$7:$Q$78)-MIN(ROW($Q$7:$Q$78))+1,""),""),ROW()-ROW(A$80)+1))),),"")</f>
        <v/>
      </c>
      <c r="W131" s="1" t="str">
        <f t="array" ref="W131">IFERROR(CONCATENATE((INDEX($Z$7:$Z$78,SMALL(IF($Z$7:$Z$78&lt;&gt;"",IF($W$7:$W$78&lt;&gt;"",ROW($W$7:$W$78)-MIN(ROW($W$7:$W$78))+1,""),""),ROW()-ROW(A$80)+1)))," "),"")</f>
        <v/>
      </c>
      <c r="X131" s="1" t="str">
        <f t="array" ref="X131">IFERROR(CONCATENATE(TEXT(INDEX($W$7:$W$78,SMALL(IF($Z$7:$Z$78&lt;&gt;"",IF($W$7:$W$78&lt;&gt;"",ROW($W$7:$W$78)-MIN(ROW($W$7:$W$78))+1,""),""),ROW()-ROW(A$80)+1)),"##0")," "),"")</f>
        <v/>
      </c>
      <c r="Y131" s="1" t="str">
        <f t="array" ref="Y131">IFERROR(CONCATENATE((INDEX($A$7:$A$78,SMALL(IF($Z$7:$Z$78&lt;&gt;"",IF($W$7:$W$78&lt;&gt;"",ROW($W$7:$W$78)-MIN(ROW($W$7:$W$78))+1,""),""),ROW()-ROW(A$80)+1))),),"")</f>
        <v/>
      </c>
      <c r="AC131" s="1" t="str">
        <f t="array" ref="AC131">IFERROR(CONCATENATE((INDEX($AF$7:$AF$78,SMALL(IF($AF$7:$AF$78&lt;&gt;"",IF($AC$7:$AC$78&lt;&gt;"",ROW($AC$7:$AC$78)-MIN(ROW($AC$7:$AC$78))+1,""),""),ROW()-ROW(A$80)+1))),","),"")</f>
        <v/>
      </c>
      <c r="AD131" s="1" t="str">
        <f t="array" ref="AD131">IFERROR(CONCATENATE(TEXT(INDEX($AC$7:$AC$78,SMALL(IF($AF$7:$AF$78&lt;&gt;"",IF($AC$7:$AC$78&lt;&gt;"",ROW($AC$7:$AC$78)-MIN(ROW($AC$7:$AC$78))+1,""),""),ROW()-ROW(A$80)+1)),"##0"),","),"")</f>
        <v/>
      </c>
      <c r="AE131" s="1" t="str">
        <f t="array" ref="AE131">IFERROR(CONCATENATE((INDEX($A$7:$A$78,SMALL(IF($AF$7:$AF$78&lt;&gt;"",IF($AC$7:$AC$78&lt;&gt;"",ROW($AC$7:$AC$78)-MIN(ROW($AC$7:$AC$78))+1,""),""),ROW()-ROW(A$80)+1))),),"")</f>
        <v/>
      </c>
      <c r="AI131" s="1" t="str">
        <f t="array" ref="AI131">IFERROR(CONCATENATE((INDEX($AL$7:$AL$78,SMALL(IF($AL$7:$AL$78&lt;&gt;"",IF($AI$7:$AI$78&lt;&gt;"",ROW($AI$7:$AI$78)-MIN(ROW($AI$7:$AI$78))+1,""),""),ROW()-ROW(A$80)+1)))," "),"")</f>
        <v/>
      </c>
      <c r="AJ131" s="1" t="str">
        <f t="array" ref="AJ131">IFERROR(CONCATENATE(TEXT(INDEX($AI$7:$AI$78,SMALL(IF($AL$7:$AL$78&lt;&gt;"",IF($AI$7:$AI$78&lt;&gt;"",ROW($AI$7:$AI$78)-MIN(ROW($AI$7:$AI$78))+1,""),""),ROW()-ROW(A$80)+1)),"##0")," "),"")</f>
        <v/>
      </c>
      <c r="AK131" s="1" t="str">
        <f t="array" ref="AK131">IFERROR(CONCATENATE((INDEX($A$7:$A$78,SMALL(IF($AL$7:$AL$78&lt;&gt;"",IF($AI$7:$AI$78&lt;&gt;"",ROW($AI$7:$AI$78)-MIN(ROW($AI$7:$AI$78))+1,""),""),ROW()-ROW(A$80)+1))),),"")</f>
        <v/>
      </c>
    </row>
    <row r="132" spans="11:37" x14ac:dyDescent="0.25">
      <c r="K132" s="1" t="str">
        <f t="array" ref="K132">IFERROR(CONCATENATE(TEXT(INDEX($K$7:$K$78,SMALL(IF($N$7:$N$78&lt;&gt;"",IF($K$7:$K$78&lt;&gt;"",ROW($K$7:$K$78)-MIN(ROW($K$7:$K$78))+1,""),""),ROW()-ROW(A$80)+1)),"##0"),","),"")</f>
        <v/>
      </c>
      <c r="L132" s="1" t="str">
        <f t="array" ref="L132">IFERROR(CONCATENATE((INDEX($N$7:$N$78,SMALL(IF($N$7:$N$78&lt;&gt;"",IF($K$7:$K$78&lt;&gt;"",ROW($K$7:$K$78)-MIN(ROW($K$7:$K$78))+1,""),""),ROW()-ROW(A$80)+1))),","),"")</f>
        <v/>
      </c>
      <c r="M132" s="1" t="str">
        <f t="array" ref="M132">IFERROR(CONCATENATE((INDEX($A$7:$A$78,SMALL(IF($N$7:$N$78&lt;&gt;"",IF($K$7:$K$78&lt;&gt;"",ROW($K$7:$K$78)-MIN(ROW($K$7:$K$78))+1,""),""),ROW()-ROW(A$80)+1))),),"")</f>
        <v/>
      </c>
      <c r="Q132" s="1" t="str">
        <f t="array" ref="Q132">IFERROR(CONCATENATE((INDEX($T$7:$T$78,SMALL(IF($T$7:$T$78&lt;&gt;"",IF($Q$7:$Q$78&lt;&gt;"",ROW($Q$7:$Q$78)-MIN(ROW($Q$7:$Q$78))+1,""),""),ROW()-ROW(A$80)+1)))," "),"")</f>
        <v/>
      </c>
      <c r="R132" s="1" t="str">
        <f t="array" ref="R132">IFERROR(CONCATENATE(TEXT(INDEX($Q$7:$Q$78,SMALL(IF($T$7:$T$78&lt;&gt;"",IF($Q$7:$Q$78&lt;&gt;"",ROW($Q$7:$Q$78)-MIN(ROW($Q$7:$Q$78))+1,""),""),ROW()-ROW(A$80)+1)),"##0")," "),"")</f>
        <v/>
      </c>
      <c r="S132" s="1" t="str">
        <f t="array" ref="S132">IFERROR(CONCATENATE((INDEX($A$7:$A$78,SMALL(IF($T$7:$T$78&lt;&gt;"",IF($Q$7:$Q$78&lt;&gt;"",ROW($Q$7:$Q$78)-MIN(ROW($Q$7:$Q$78))+1,""),""),ROW()-ROW(A$80)+1))),),"")</f>
        <v/>
      </c>
      <c r="W132" s="1" t="str">
        <f t="array" ref="W132">IFERROR(CONCATENATE((INDEX($Z$7:$Z$78,SMALL(IF($Z$7:$Z$78&lt;&gt;"",IF($W$7:$W$78&lt;&gt;"",ROW($W$7:$W$78)-MIN(ROW($W$7:$W$78))+1,""),""),ROW()-ROW(A$80)+1)))," "),"")</f>
        <v/>
      </c>
      <c r="X132" s="1" t="str">
        <f t="array" ref="X132">IFERROR(CONCATENATE(TEXT(INDEX($W$7:$W$78,SMALL(IF($Z$7:$Z$78&lt;&gt;"",IF($W$7:$W$78&lt;&gt;"",ROW($W$7:$W$78)-MIN(ROW($W$7:$W$78))+1,""),""),ROW()-ROW(A$80)+1)),"##0")," "),"")</f>
        <v/>
      </c>
      <c r="Y132" s="1" t="str">
        <f t="array" ref="Y132">IFERROR(CONCATENATE((INDEX($A$7:$A$78,SMALL(IF($Z$7:$Z$78&lt;&gt;"",IF($W$7:$W$78&lt;&gt;"",ROW($W$7:$W$78)-MIN(ROW($W$7:$W$78))+1,""),""),ROW()-ROW(A$80)+1))),),"")</f>
        <v/>
      </c>
      <c r="AC132" s="1" t="str">
        <f t="array" ref="AC132">IFERROR(CONCATENATE((INDEX($AF$7:$AF$78,SMALL(IF($AF$7:$AF$78&lt;&gt;"",IF($AC$7:$AC$78&lt;&gt;"",ROW($AC$7:$AC$78)-MIN(ROW($AC$7:$AC$78))+1,""),""),ROW()-ROW(A$80)+1))),","),"")</f>
        <v/>
      </c>
      <c r="AD132" s="1" t="str">
        <f t="array" ref="AD132">IFERROR(CONCATENATE(TEXT(INDEX($AC$7:$AC$78,SMALL(IF($AF$7:$AF$78&lt;&gt;"",IF($AC$7:$AC$78&lt;&gt;"",ROW($AC$7:$AC$78)-MIN(ROW($AC$7:$AC$78))+1,""),""),ROW()-ROW(A$80)+1)),"##0"),","),"")</f>
        <v/>
      </c>
      <c r="AE132" s="1" t="str">
        <f t="array" ref="AE132">IFERROR(CONCATENATE((INDEX($A$7:$A$78,SMALL(IF($AF$7:$AF$78&lt;&gt;"",IF($AC$7:$AC$78&lt;&gt;"",ROW($AC$7:$AC$78)-MIN(ROW($AC$7:$AC$78))+1,""),""),ROW()-ROW(A$80)+1))),),"")</f>
        <v/>
      </c>
      <c r="AI132" s="1" t="str">
        <f t="array" ref="AI132">IFERROR(CONCATENATE((INDEX($AL$7:$AL$78,SMALL(IF($AL$7:$AL$78&lt;&gt;"",IF($AI$7:$AI$78&lt;&gt;"",ROW($AI$7:$AI$78)-MIN(ROW($AI$7:$AI$78))+1,""),""),ROW()-ROW(A$80)+1)))," "),"")</f>
        <v/>
      </c>
      <c r="AJ132" s="1" t="str">
        <f t="array" ref="AJ132">IFERROR(CONCATENATE(TEXT(INDEX($AI$7:$AI$78,SMALL(IF($AL$7:$AL$78&lt;&gt;"",IF($AI$7:$AI$78&lt;&gt;"",ROW($AI$7:$AI$78)-MIN(ROW($AI$7:$AI$78))+1,""),""),ROW()-ROW(A$80)+1)),"##0")," "),"")</f>
        <v/>
      </c>
      <c r="AK132" s="1" t="str">
        <f t="array" ref="AK132">IFERROR(CONCATENATE((INDEX($A$7:$A$78,SMALL(IF($AL$7:$AL$78&lt;&gt;"",IF($AI$7:$AI$78&lt;&gt;"",ROW($AI$7:$AI$78)-MIN(ROW($AI$7:$AI$78))+1,""),""),ROW()-ROW(A$80)+1))),),"")</f>
        <v/>
      </c>
    </row>
    <row r="133" spans="11:37" x14ac:dyDescent="0.25">
      <c r="K133" s="1" t="str">
        <f t="array" ref="K133">IFERROR(CONCATENATE(TEXT(INDEX($K$7:$K$78,SMALL(IF($N$7:$N$78&lt;&gt;"",IF($K$7:$K$78&lt;&gt;"",ROW($K$7:$K$78)-MIN(ROW($K$7:$K$78))+1,""),""),ROW()-ROW(A$80)+1)),"##0"),","),"")</f>
        <v/>
      </c>
      <c r="L133" s="1" t="str">
        <f t="array" ref="L133">IFERROR(CONCATENATE((INDEX($N$7:$N$78,SMALL(IF($N$7:$N$78&lt;&gt;"",IF($K$7:$K$78&lt;&gt;"",ROW($K$7:$K$78)-MIN(ROW($K$7:$K$78))+1,""),""),ROW()-ROW(A$80)+1))),","),"")</f>
        <v/>
      </c>
      <c r="M133" s="1" t="str">
        <f t="array" ref="M133">IFERROR(CONCATENATE((INDEX($A$7:$A$78,SMALL(IF($N$7:$N$78&lt;&gt;"",IF($K$7:$K$78&lt;&gt;"",ROW($K$7:$K$78)-MIN(ROW($K$7:$K$78))+1,""),""),ROW()-ROW(A$80)+1))),),"")</f>
        <v/>
      </c>
      <c r="Q133" s="1" t="str">
        <f t="array" ref="Q133">IFERROR(CONCATENATE((INDEX($T$7:$T$78,SMALL(IF($T$7:$T$78&lt;&gt;"",IF($Q$7:$Q$78&lt;&gt;"",ROW($Q$7:$Q$78)-MIN(ROW($Q$7:$Q$78))+1,""),""),ROW()-ROW(A$80)+1)))," "),"")</f>
        <v/>
      </c>
      <c r="R133" s="1" t="str">
        <f t="array" ref="R133">IFERROR(CONCATENATE(TEXT(INDEX($Q$7:$Q$78,SMALL(IF($T$7:$T$78&lt;&gt;"",IF($Q$7:$Q$78&lt;&gt;"",ROW($Q$7:$Q$78)-MIN(ROW($Q$7:$Q$78))+1,""),""),ROW()-ROW(A$80)+1)),"##0")," "),"")</f>
        <v/>
      </c>
      <c r="S133" s="1" t="str">
        <f t="array" ref="S133">IFERROR(CONCATENATE((INDEX($A$7:$A$78,SMALL(IF($T$7:$T$78&lt;&gt;"",IF($Q$7:$Q$78&lt;&gt;"",ROW($Q$7:$Q$78)-MIN(ROW($Q$7:$Q$78))+1,""),""),ROW()-ROW(A$80)+1))),),"")</f>
        <v/>
      </c>
      <c r="W133" s="1" t="str">
        <f t="array" ref="W133">IFERROR(CONCATENATE((INDEX($Z$7:$Z$78,SMALL(IF($Z$7:$Z$78&lt;&gt;"",IF($W$7:$W$78&lt;&gt;"",ROW($W$7:$W$78)-MIN(ROW($W$7:$W$78))+1,""),""),ROW()-ROW(A$80)+1)))," "),"")</f>
        <v/>
      </c>
      <c r="X133" s="1" t="str">
        <f t="array" ref="X133">IFERROR(CONCATENATE(TEXT(INDEX($W$7:$W$78,SMALL(IF($Z$7:$Z$78&lt;&gt;"",IF($W$7:$W$78&lt;&gt;"",ROW($W$7:$W$78)-MIN(ROW($W$7:$W$78))+1,""),""),ROW()-ROW(A$80)+1)),"##0")," "),"")</f>
        <v/>
      </c>
      <c r="Y133" s="1" t="str">
        <f t="array" ref="Y133">IFERROR(CONCATENATE((INDEX($A$7:$A$78,SMALL(IF($Z$7:$Z$78&lt;&gt;"",IF($W$7:$W$78&lt;&gt;"",ROW($W$7:$W$78)-MIN(ROW($W$7:$W$78))+1,""),""),ROW()-ROW(A$80)+1))),),"")</f>
        <v/>
      </c>
      <c r="AC133" s="1" t="str">
        <f t="array" ref="AC133">IFERROR(CONCATENATE((INDEX($AF$7:$AF$78,SMALL(IF($AF$7:$AF$78&lt;&gt;"",IF($AC$7:$AC$78&lt;&gt;"",ROW($AC$7:$AC$78)-MIN(ROW($AC$7:$AC$78))+1,""),""),ROW()-ROW(A$80)+1))),","),"")</f>
        <v/>
      </c>
      <c r="AD133" s="1" t="str">
        <f t="array" ref="AD133">IFERROR(CONCATENATE(TEXT(INDEX($AC$7:$AC$78,SMALL(IF($AF$7:$AF$78&lt;&gt;"",IF($AC$7:$AC$78&lt;&gt;"",ROW($AC$7:$AC$78)-MIN(ROW($AC$7:$AC$78))+1,""),""),ROW()-ROW(A$80)+1)),"##0"),","),"")</f>
        <v/>
      </c>
      <c r="AE133" s="1" t="str">
        <f t="array" ref="AE133">IFERROR(CONCATENATE((INDEX($A$7:$A$78,SMALL(IF($AF$7:$AF$78&lt;&gt;"",IF($AC$7:$AC$78&lt;&gt;"",ROW($AC$7:$AC$78)-MIN(ROW($AC$7:$AC$78))+1,""),""),ROW()-ROW(A$80)+1))),),"")</f>
        <v/>
      </c>
      <c r="AI133" s="1" t="str">
        <f t="array" ref="AI133">IFERROR(CONCATENATE((INDEX($AL$7:$AL$78,SMALL(IF($AL$7:$AL$78&lt;&gt;"",IF($AI$7:$AI$78&lt;&gt;"",ROW($AI$7:$AI$78)-MIN(ROW($AI$7:$AI$78))+1,""),""),ROW()-ROW(A$80)+1)))," "),"")</f>
        <v/>
      </c>
      <c r="AJ133" s="1" t="str">
        <f t="array" ref="AJ133">IFERROR(CONCATENATE(TEXT(INDEX($AI$7:$AI$78,SMALL(IF($AL$7:$AL$78&lt;&gt;"",IF($AI$7:$AI$78&lt;&gt;"",ROW($AI$7:$AI$78)-MIN(ROW($AI$7:$AI$78))+1,""),""),ROW()-ROW(A$80)+1)),"##0")," "),"")</f>
        <v/>
      </c>
      <c r="AK133" s="1" t="str">
        <f t="array" ref="AK133">IFERROR(CONCATENATE((INDEX($A$7:$A$78,SMALL(IF($AL$7:$AL$78&lt;&gt;"",IF($AI$7:$AI$78&lt;&gt;"",ROW($AI$7:$AI$78)-MIN(ROW($AI$7:$AI$78))+1,""),""),ROW()-ROW(A$80)+1))),),"")</f>
        <v/>
      </c>
    </row>
    <row r="134" spans="11:37" x14ac:dyDescent="0.25">
      <c r="K134" s="1" t="str">
        <f t="array" ref="K134">IFERROR(CONCATENATE(TEXT(INDEX($K$7:$K$78,SMALL(IF($N$7:$N$78&lt;&gt;"",IF($K$7:$K$78&lt;&gt;"",ROW($K$7:$K$78)-MIN(ROW($K$7:$K$78))+1,""),""),ROW()-ROW(A$80)+1)),"##0"),","),"")</f>
        <v/>
      </c>
      <c r="L134" s="1" t="str">
        <f t="array" ref="L134">IFERROR(CONCATENATE((INDEX($N$7:$N$78,SMALL(IF($N$7:$N$78&lt;&gt;"",IF($K$7:$K$78&lt;&gt;"",ROW($K$7:$K$78)-MIN(ROW($K$7:$K$78))+1,""),""),ROW()-ROW(A$80)+1))),","),"")</f>
        <v/>
      </c>
      <c r="M134" s="1" t="str">
        <f t="array" ref="M134">IFERROR(CONCATENATE((INDEX($A$7:$A$78,SMALL(IF($N$7:$N$78&lt;&gt;"",IF($K$7:$K$78&lt;&gt;"",ROW($K$7:$K$78)-MIN(ROW($K$7:$K$78))+1,""),""),ROW()-ROW(A$80)+1))),),"")</f>
        <v/>
      </c>
      <c r="Q134" s="1" t="str">
        <f t="array" ref="Q134">IFERROR(CONCATENATE((INDEX($T$7:$T$78,SMALL(IF($T$7:$T$78&lt;&gt;"",IF($Q$7:$Q$78&lt;&gt;"",ROW($Q$7:$Q$78)-MIN(ROW($Q$7:$Q$78))+1,""),""),ROW()-ROW(A$80)+1)))," "),"")</f>
        <v/>
      </c>
      <c r="R134" s="1" t="str">
        <f t="array" ref="R134">IFERROR(CONCATENATE(TEXT(INDEX($Q$7:$Q$78,SMALL(IF($T$7:$T$78&lt;&gt;"",IF($Q$7:$Q$78&lt;&gt;"",ROW($Q$7:$Q$78)-MIN(ROW($Q$7:$Q$78))+1,""),""),ROW()-ROW(A$80)+1)),"##0")," "),"")</f>
        <v/>
      </c>
      <c r="S134" s="1" t="str">
        <f t="array" ref="S134">IFERROR(CONCATENATE((INDEX($A$7:$A$78,SMALL(IF($T$7:$T$78&lt;&gt;"",IF($Q$7:$Q$78&lt;&gt;"",ROW($Q$7:$Q$78)-MIN(ROW($Q$7:$Q$78))+1,""),""),ROW()-ROW(A$80)+1))),),"")</f>
        <v/>
      </c>
      <c r="W134" s="1" t="str">
        <f t="array" ref="W134">IFERROR(CONCATENATE((INDEX($Z$7:$Z$78,SMALL(IF($Z$7:$Z$78&lt;&gt;"",IF($W$7:$W$78&lt;&gt;"",ROW($W$7:$W$78)-MIN(ROW($W$7:$W$78))+1,""),""),ROW()-ROW(A$80)+1)))," "),"")</f>
        <v/>
      </c>
      <c r="X134" s="1" t="str">
        <f t="array" ref="X134">IFERROR(CONCATENATE(TEXT(INDEX($W$7:$W$78,SMALL(IF($Z$7:$Z$78&lt;&gt;"",IF($W$7:$W$78&lt;&gt;"",ROW($W$7:$W$78)-MIN(ROW($W$7:$W$78))+1,""),""),ROW()-ROW(A$80)+1)),"##0")," "),"")</f>
        <v/>
      </c>
      <c r="Y134" s="1" t="str">
        <f t="array" ref="Y134">IFERROR(CONCATENATE((INDEX($A$7:$A$78,SMALL(IF($Z$7:$Z$78&lt;&gt;"",IF($W$7:$W$78&lt;&gt;"",ROW($W$7:$W$78)-MIN(ROW($W$7:$W$78))+1,""),""),ROW()-ROW(A$80)+1))),),"")</f>
        <v/>
      </c>
      <c r="AC134" s="1" t="str">
        <f t="array" ref="AC134">IFERROR(CONCATENATE((INDEX($AF$7:$AF$78,SMALL(IF($AF$7:$AF$78&lt;&gt;"",IF($AC$7:$AC$78&lt;&gt;"",ROW($AC$7:$AC$78)-MIN(ROW($AC$7:$AC$78))+1,""),""),ROW()-ROW(A$80)+1))),","),"")</f>
        <v/>
      </c>
      <c r="AD134" s="1" t="str">
        <f t="array" ref="AD134">IFERROR(CONCATENATE(TEXT(INDEX($AC$7:$AC$78,SMALL(IF($AF$7:$AF$78&lt;&gt;"",IF($AC$7:$AC$78&lt;&gt;"",ROW($AC$7:$AC$78)-MIN(ROW($AC$7:$AC$78))+1,""),""),ROW()-ROW(A$80)+1)),"##0"),","),"")</f>
        <v/>
      </c>
      <c r="AE134" s="1" t="str">
        <f t="array" ref="AE134">IFERROR(CONCATENATE((INDEX($A$7:$A$78,SMALL(IF($AF$7:$AF$78&lt;&gt;"",IF($AC$7:$AC$78&lt;&gt;"",ROW($AC$7:$AC$78)-MIN(ROW($AC$7:$AC$78))+1,""),""),ROW()-ROW(A$80)+1))),),"")</f>
        <v/>
      </c>
      <c r="AI134" s="1" t="str">
        <f t="array" ref="AI134">IFERROR(CONCATENATE((INDEX($AL$7:$AL$78,SMALL(IF($AL$7:$AL$78&lt;&gt;"",IF($AI$7:$AI$78&lt;&gt;"",ROW($AI$7:$AI$78)-MIN(ROW($AI$7:$AI$78))+1,""),""),ROW()-ROW(A$80)+1)))," "),"")</f>
        <v/>
      </c>
      <c r="AJ134" s="1" t="str">
        <f t="array" ref="AJ134">IFERROR(CONCATENATE(TEXT(INDEX($AI$7:$AI$78,SMALL(IF($AL$7:$AL$78&lt;&gt;"",IF($AI$7:$AI$78&lt;&gt;"",ROW($AI$7:$AI$78)-MIN(ROW($AI$7:$AI$78))+1,""),""),ROW()-ROW(A$80)+1)),"##0")," "),"")</f>
        <v/>
      </c>
      <c r="AK134" s="1" t="str">
        <f t="array" ref="AK134">IFERROR(CONCATENATE((INDEX($A$7:$A$78,SMALL(IF($AL$7:$AL$78&lt;&gt;"",IF($AI$7:$AI$78&lt;&gt;"",ROW($AI$7:$AI$78)-MIN(ROW($AI$7:$AI$78))+1,""),""),ROW()-ROW(A$80)+1))),),"")</f>
        <v/>
      </c>
    </row>
    <row r="135" spans="11:37" x14ac:dyDescent="0.25">
      <c r="K135" s="1" t="str">
        <f t="array" ref="K135">IFERROR(CONCATENATE(TEXT(INDEX($K$7:$K$78,SMALL(IF($N$7:$N$78&lt;&gt;"",IF($K$7:$K$78&lt;&gt;"",ROW($K$7:$K$78)-MIN(ROW($K$7:$K$78))+1,""),""),ROW()-ROW(A$80)+1)),"##0"),","),"")</f>
        <v/>
      </c>
      <c r="L135" s="1" t="str">
        <f t="array" ref="L135">IFERROR(CONCATENATE((INDEX($N$7:$N$78,SMALL(IF($N$7:$N$78&lt;&gt;"",IF($K$7:$K$78&lt;&gt;"",ROW($K$7:$K$78)-MIN(ROW($K$7:$K$78))+1,""),""),ROW()-ROW(A$80)+1))),","),"")</f>
        <v/>
      </c>
      <c r="M135" s="1" t="str">
        <f t="array" ref="M135">IFERROR(CONCATENATE((INDEX($A$7:$A$78,SMALL(IF($N$7:$N$78&lt;&gt;"",IF($K$7:$K$78&lt;&gt;"",ROW($K$7:$K$78)-MIN(ROW($K$7:$K$78))+1,""),""),ROW()-ROW(A$80)+1))),),"")</f>
        <v/>
      </c>
      <c r="Q135" s="1" t="str">
        <f t="array" ref="Q135">IFERROR(CONCATENATE((INDEX($T$7:$T$78,SMALL(IF($T$7:$T$78&lt;&gt;"",IF($Q$7:$Q$78&lt;&gt;"",ROW($Q$7:$Q$78)-MIN(ROW($Q$7:$Q$78))+1,""),""),ROW()-ROW(A$80)+1)))," "),"")</f>
        <v/>
      </c>
      <c r="R135" s="1" t="str">
        <f t="array" ref="R135">IFERROR(CONCATENATE(TEXT(INDEX($Q$7:$Q$78,SMALL(IF($T$7:$T$78&lt;&gt;"",IF($Q$7:$Q$78&lt;&gt;"",ROW($Q$7:$Q$78)-MIN(ROW($Q$7:$Q$78))+1,""),""),ROW()-ROW(A$80)+1)),"##0")," "),"")</f>
        <v/>
      </c>
      <c r="S135" s="1" t="str">
        <f t="array" ref="S135">IFERROR(CONCATENATE((INDEX($A$7:$A$78,SMALL(IF($T$7:$T$78&lt;&gt;"",IF($Q$7:$Q$78&lt;&gt;"",ROW($Q$7:$Q$78)-MIN(ROW($Q$7:$Q$78))+1,""),""),ROW()-ROW(A$80)+1))),),"")</f>
        <v/>
      </c>
      <c r="W135" s="1" t="str">
        <f t="array" ref="W135">IFERROR(CONCATENATE((INDEX($Z$7:$Z$78,SMALL(IF($Z$7:$Z$78&lt;&gt;"",IF($W$7:$W$78&lt;&gt;"",ROW($W$7:$W$78)-MIN(ROW($W$7:$W$78))+1,""),""),ROW()-ROW(A$80)+1)))," "),"")</f>
        <v/>
      </c>
      <c r="X135" s="1" t="str">
        <f t="array" ref="X135">IFERROR(CONCATENATE(TEXT(INDEX($W$7:$W$78,SMALL(IF($Z$7:$Z$78&lt;&gt;"",IF($W$7:$W$78&lt;&gt;"",ROW($W$7:$W$78)-MIN(ROW($W$7:$W$78))+1,""),""),ROW()-ROW(A$80)+1)),"##0")," "),"")</f>
        <v/>
      </c>
      <c r="Y135" s="1" t="str">
        <f t="array" ref="Y135">IFERROR(CONCATENATE((INDEX($A$7:$A$78,SMALL(IF($Z$7:$Z$78&lt;&gt;"",IF($W$7:$W$78&lt;&gt;"",ROW($W$7:$W$78)-MIN(ROW($W$7:$W$78))+1,""),""),ROW()-ROW(A$80)+1))),),"")</f>
        <v/>
      </c>
      <c r="AC135" s="1" t="str">
        <f t="array" ref="AC135">IFERROR(CONCATENATE((INDEX($AF$7:$AF$78,SMALL(IF($AF$7:$AF$78&lt;&gt;"",IF($AC$7:$AC$78&lt;&gt;"",ROW($AC$7:$AC$78)-MIN(ROW($AC$7:$AC$78))+1,""),""),ROW()-ROW(A$80)+1))),","),"")</f>
        <v/>
      </c>
      <c r="AD135" s="1" t="str">
        <f t="array" ref="AD135">IFERROR(CONCATENATE(TEXT(INDEX($AC$7:$AC$78,SMALL(IF($AF$7:$AF$78&lt;&gt;"",IF($AC$7:$AC$78&lt;&gt;"",ROW($AC$7:$AC$78)-MIN(ROW($AC$7:$AC$78))+1,""),""),ROW()-ROW(A$80)+1)),"##0"),","),"")</f>
        <v/>
      </c>
      <c r="AE135" s="1" t="str">
        <f t="array" ref="AE135">IFERROR(CONCATENATE((INDEX($A$7:$A$78,SMALL(IF($AF$7:$AF$78&lt;&gt;"",IF($AC$7:$AC$78&lt;&gt;"",ROW($AC$7:$AC$78)-MIN(ROW($AC$7:$AC$78))+1,""),""),ROW()-ROW(A$80)+1))),),"")</f>
        <v/>
      </c>
      <c r="AI135" s="1" t="str">
        <f t="array" ref="AI135">IFERROR(CONCATENATE((INDEX($AL$7:$AL$78,SMALL(IF($AL$7:$AL$78&lt;&gt;"",IF($AI$7:$AI$78&lt;&gt;"",ROW($AI$7:$AI$78)-MIN(ROW($AI$7:$AI$78))+1,""),""),ROW()-ROW(A$80)+1)))," "),"")</f>
        <v/>
      </c>
      <c r="AJ135" s="1" t="str">
        <f t="array" ref="AJ135">IFERROR(CONCATENATE(TEXT(INDEX($AI$7:$AI$78,SMALL(IF($AL$7:$AL$78&lt;&gt;"",IF($AI$7:$AI$78&lt;&gt;"",ROW($AI$7:$AI$78)-MIN(ROW($AI$7:$AI$78))+1,""),""),ROW()-ROW(A$80)+1)),"##0")," "),"")</f>
        <v/>
      </c>
      <c r="AK135" s="1" t="str">
        <f t="array" ref="AK135">IFERROR(CONCATENATE((INDEX($A$7:$A$78,SMALL(IF($AL$7:$AL$78&lt;&gt;"",IF($AI$7:$AI$78&lt;&gt;"",ROW($AI$7:$AI$78)-MIN(ROW($AI$7:$AI$78))+1,""),""),ROW()-ROW(A$80)+1))),),"")</f>
        <v/>
      </c>
    </row>
    <row r="136" spans="11:37" x14ac:dyDescent="0.25">
      <c r="K136" s="1" t="str">
        <f t="array" ref="K136">IFERROR(CONCATENATE(TEXT(INDEX($K$7:$K$78,SMALL(IF($N$7:$N$78&lt;&gt;"",IF($K$7:$K$78&lt;&gt;"",ROW($K$7:$K$78)-MIN(ROW($K$7:$K$78))+1,""),""),ROW()-ROW(A$80)+1)),"##0"),","),"")</f>
        <v/>
      </c>
      <c r="L136" s="1" t="str">
        <f t="array" ref="L136">IFERROR(CONCATENATE((INDEX($N$7:$N$78,SMALL(IF($N$7:$N$78&lt;&gt;"",IF($K$7:$K$78&lt;&gt;"",ROW($K$7:$K$78)-MIN(ROW($K$7:$K$78))+1,""),""),ROW()-ROW(A$80)+1))),","),"")</f>
        <v/>
      </c>
      <c r="M136" s="1" t="str">
        <f t="array" ref="M136">IFERROR(CONCATENATE((INDEX($A$7:$A$78,SMALL(IF($N$7:$N$78&lt;&gt;"",IF($K$7:$K$78&lt;&gt;"",ROW($K$7:$K$78)-MIN(ROW($K$7:$K$78))+1,""),""),ROW()-ROW(A$80)+1))),),"")</f>
        <v/>
      </c>
      <c r="Q136" s="1" t="str">
        <f t="array" ref="Q136">IFERROR(CONCATENATE((INDEX($T$7:$T$78,SMALL(IF($T$7:$T$78&lt;&gt;"",IF($Q$7:$Q$78&lt;&gt;"",ROW($Q$7:$Q$78)-MIN(ROW($Q$7:$Q$78))+1,""),""),ROW()-ROW(A$80)+1)))," "),"")</f>
        <v/>
      </c>
      <c r="R136" s="1" t="str">
        <f t="array" ref="R136">IFERROR(CONCATENATE(TEXT(INDEX($Q$7:$Q$78,SMALL(IF($T$7:$T$78&lt;&gt;"",IF($Q$7:$Q$78&lt;&gt;"",ROW($Q$7:$Q$78)-MIN(ROW($Q$7:$Q$78))+1,""),""),ROW()-ROW(A$80)+1)),"##0")," "),"")</f>
        <v/>
      </c>
      <c r="S136" s="1" t="str">
        <f t="array" ref="S136">IFERROR(CONCATENATE((INDEX($A$7:$A$78,SMALL(IF($T$7:$T$78&lt;&gt;"",IF($Q$7:$Q$78&lt;&gt;"",ROW($Q$7:$Q$78)-MIN(ROW($Q$7:$Q$78))+1,""),""),ROW()-ROW(A$80)+1))),),"")</f>
        <v/>
      </c>
      <c r="W136" s="1" t="str">
        <f t="array" ref="W136">IFERROR(CONCATENATE((INDEX($Z$7:$Z$78,SMALL(IF($Z$7:$Z$78&lt;&gt;"",IF($W$7:$W$78&lt;&gt;"",ROW($W$7:$W$78)-MIN(ROW($W$7:$W$78))+1,""),""),ROW()-ROW(A$80)+1)))," "),"")</f>
        <v/>
      </c>
      <c r="X136" s="1" t="str">
        <f t="array" ref="X136">IFERROR(CONCATENATE(TEXT(INDEX($W$7:$W$78,SMALL(IF($Z$7:$Z$78&lt;&gt;"",IF($W$7:$W$78&lt;&gt;"",ROW($W$7:$W$78)-MIN(ROW($W$7:$W$78))+1,""),""),ROW()-ROW(A$80)+1)),"##0")," "),"")</f>
        <v/>
      </c>
      <c r="Y136" s="1" t="str">
        <f t="array" ref="Y136">IFERROR(CONCATENATE((INDEX($A$7:$A$78,SMALL(IF($Z$7:$Z$78&lt;&gt;"",IF($W$7:$W$78&lt;&gt;"",ROW($W$7:$W$78)-MIN(ROW($W$7:$W$78))+1,""),""),ROW()-ROW(A$80)+1))),),"")</f>
        <v/>
      </c>
      <c r="AC136" s="1" t="str">
        <f t="array" ref="AC136">IFERROR(CONCATENATE((INDEX($AF$7:$AF$78,SMALL(IF($AF$7:$AF$78&lt;&gt;"",IF($AC$7:$AC$78&lt;&gt;"",ROW($AC$7:$AC$78)-MIN(ROW($AC$7:$AC$78))+1,""),""),ROW()-ROW(A$80)+1))),","),"")</f>
        <v/>
      </c>
      <c r="AD136" s="1" t="str">
        <f t="array" ref="AD136">IFERROR(CONCATENATE(TEXT(INDEX($AC$7:$AC$78,SMALL(IF($AF$7:$AF$78&lt;&gt;"",IF($AC$7:$AC$78&lt;&gt;"",ROW($AC$7:$AC$78)-MIN(ROW($AC$7:$AC$78))+1,""),""),ROW()-ROW(A$80)+1)),"##0"),","),"")</f>
        <v/>
      </c>
      <c r="AE136" s="1" t="str">
        <f t="array" ref="AE136">IFERROR(CONCATENATE((INDEX($A$7:$A$78,SMALL(IF($AF$7:$AF$78&lt;&gt;"",IF($AC$7:$AC$78&lt;&gt;"",ROW($AC$7:$AC$78)-MIN(ROW($AC$7:$AC$78))+1,""),""),ROW()-ROW(A$80)+1))),),"")</f>
        <v/>
      </c>
      <c r="AI136" s="1" t="str">
        <f t="array" ref="AI136">IFERROR(CONCATENATE((INDEX($AL$7:$AL$78,SMALL(IF($AL$7:$AL$78&lt;&gt;"",IF($AI$7:$AI$78&lt;&gt;"",ROW($AI$7:$AI$78)-MIN(ROW($AI$7:$AI$78))+1,""),""),ROW()-ROW(A$80)+1)))," "),"")</f>
        <v/>
      </c>
      <c r="AJ136" s="1" t="str">
        <f t="array" ref="AJ136">IFERROR(CONCATENATE(TEXT(INDEX($AI$7:$AI$78,SMALL(IF($AL$7:$AL$78&lt;&gt;"",IF($AI$7:$AI$78&lt;&gt;"",ROW($AI$7:$AI$78)-MIN(ROW($AI$7:$AI$78))+1,""),""),ROW()-ROW(A$80)+1)),"##0")," "),"")</f>
        <v/>
      </c>
      <c r="AK136" s="1" t="str">
        <f t="array" ref="AK136">IFERROR(CONCATENATE((INDEX($A$7:$A$78,SMALL(IF($AL$7:$AL$78&lt;&gt;"",IF($AI$7:$AI$78&lt;&gt;"",ROW($AI$7:$AI$78)-MIN(ROW($AI$7:$AI$78))+1,""),""),ROW()-ROW(A$80)+1))),),"")</f>
        <v/>
      </c>
    </row>
    <row r="137" spans="11:37" x14ac:dyDescent="0.25">
      <c r="K137" s="1" t="str">
        <f t="array" ref="K137">IFERROR(CONCATENATE(TEXT(INDEX($K$7:$K$78,SMALL(IF($N$7:$N$78&lt;&gt;"",IF($K$7:$K$78&lt;&gt;"",ROW($K$7:$K$78)-MIN(ROW($K$7:$K$78))+1,""),""),ROW()-ROW(A$80)+1)),"##0"),","),"")</f>
        <v/>
      </c>
      <c r="L137" s="1" t="str">
        <f t="array" ref="L137">IFERROR(CONCATENATE((INDEX($N$7:$N$78,SMALL(IF($N$7:$N$78&lt;&gt;"",IF($K$7:$K$78&lt;&gt;"",ROW($K$7:$K$78)-MIN(ROW($K$7:$K$78))+1,""),""),ROW()-ROW(A$80)+1))),","),"")</f>
        <v/>
      </c>
      <c r="M137" s="1" t="str">
        <f t="array" ref="M137">IFERROR(CONCATENATE((INDEX($A$7:$A$78,SMALL(IF($N$7:$N$78&lt;&gt;"",IF($K$7:$K$78&lt;&gt;"",ROW($K$7:$K$78)-MIN(ROW($K$7:$K$78))+1,""),""),ROW()-ROW(A$80)+1))),),"")</f>
        <v/>
      </c>
      <c r="Q137" s="1" t="str">
        <f t="array" ref="Q137">IFERROR(CONCATENATE((INDEX($T$7:$T$78,SMALL(IF($T$7:$T$78&lt;&gt;"",IF($Q$7:$Q$78&lt;&gt;"",ROW($Q$7:$Q$78)-MIN(ROW($Q$7:$Q$78))+1,""),""),ROW()-ROW(A$80)+1)))," "),"")</f>
        <v/>
      </c>
      <c r="R137" s="1" t="str">
        <f t="array" ref="R137">IFERROR(CONCATENATE(TEXT(INDEX($Q$7:$Q$78,SMALL(IF($T$7:$T$78&lt;&gt;"",IF($Q$7:$Q$78&lt;&gt;"",ROW($Q$7:$Q$78)-MIN(ROW($Q$7:$Q$78))+1,""),""),ROW()-ROW(A$80)+1)),"##0")," "),"")</f>
        <v/>
      </c>
      <c r="S137" s="1" t="str">
        <f t="array" ref="S137">IFERROR(CONCATENATE((INDEX($A$7:$A$78,SMALL(IF($T$7:$T$78&lt;&gt;"",IF($Q$7:$Q$78&lt;&gt;"",ROW($Q$7:$Q$78)-MIN(ROW($Q$7:$Q$78))+1,""),""),ROW()-ROW(A$80)+1))),),"")</f>
        <v/>
      </c>
      <c r="W137" s="1" t="str">
        <f t="array" ref="W137">IFERROR(CONCATENATE((INDEX($Z$7:$Z$78,SMALL(IF($Z$7:$Z$78&lt;&gt;"",IF($W$7:$W$78&lt;&gt;"",ROW($W$7:$W$78)-MIN(ROW($W$7:$W$78))+1,""),""),ROW()-ROW(A$80)+1)))," "),"")</f>
        <v/>
      </c>
      <c r="X137" s="1" t="str">
        <f t="array" ref="X137">IFERROR(CONCATENATE(TEXT(INDEX($W$7:$W$78,SMALL(IF($Z$7:$Z$78&lt;&gt;"",IF($W$7:$W$78&lt;&gt;"",ROW($W$7:$W$78)-MIN(ROW($W$7:$W$78))+1,""),""),ROW()-ROW(A$80)+1)),"##0")," "),"")</f>
        <v/>
      </c>
      <c r="Y137" s="1" t="str">
        <f t="array" ref="Y137">IFERROR(CONCATENATE((INDEX($A$7:$A$78,SMALL(IF($Z$7:$Z$78&lt;&gt;"",IF($W$7:$W$78&lt;&gt;"",ROW($W$7:$W$78)-MIN(ROW($W$7:$W$78))+1,""),""),ROW()-ROW(A$80)+1))),),"")</f>
        <v/>
      </c>
      <c r="AC137" s="1" t="str">
        <f t="array" ref="AC137">IFERROR(CONCATENATE((INDEX($AF$7:$AF$78,SMALL(IF($AF$7:$AF$78&lt;&gt;"",IF($AC$7:$AC$78&lt;&gt;"",ROW($AC$7:$AC$78)-MIN(ROW($AC$7:$AC$78))+1,""),""),ROW()-ROW(A$80)+1))),","),"")</f>
        <v/>
      </c>
      <c r="AD137" s="1" t="str">
        <f t="array" ref="AD137">IFERROR(CONCATENATE(TEXT(INDEX($AC$7:$AC$78,SMALL(IF($AF$7:$AF$78&lt;&gt;"",IF($AC$7:$AC$78&lt;&gt;"",ROW($AC$7:$AC$78)-MIN(ROW($AC$7:$AC$78))+1,""),""),ROW()-ROW(A$80)+1)),"##0"),","),"")</f>
        <v/>
      </c>
      <c r="AE137" s="1" t="str">
        <f t="array" ref="AE137">IFERROR(CONCATENATE((INDEX($A$7:$A$78,SMALL(IF($AF$7:$AF$78&lt;&gt;"",IF($AC$7:$AC$78&lt;&gt;"",ROW($AC$7:$AC$78)-MIN(ROW($AC$7:$AC$78))+1,""),""),ROW()-ROW(A$80)+1))),),"")</f>
        <v/>
      </c>
      <c r="AI137" s="1" t="str">
        <f t="array" ref="AI137">IFERROR(CONCATENATE((INDEX($AL$7:$AL$78,SMALL(IF($AL$7:$AL$78&lt;&gt;"",IF($AI$7:$AI$78&lt;&gt;"",ROW($AI$7:$AI$78)-MIN(ROW($AI$7:$AI$78))+1,""),""),ROW()-ROW(A$80)+1)))," "),"")</f>
        <v/>
      </c>
      <c r="AJ137" s="1" t="str">
        <f t="array" ref="AJ137">IFERROR(CONCATENATE(TEXT(INDEX($AI$7:$AI$78,SMALL(IF($AL$7:$AL$78&lt;&gt;"",IF($AI$7:$AI$78&lt;&gt;"",ROW($AI$7:$AI$78)-MIN(ROW($AI$7:$AI$78))+1,""),""),ROW()-ROW(A$80)+1)),"##0")," "),"")</f>
        <v/>
      </c>
      <c r="AK137" s="1" t="str">
        <f t="array" ref="AK137">IFERROR(CONCATENATE((INDEX($A$7:$A$78,SMALL(IF($AL$7:$AL$78&lt;&gt;"",IF($AI$7:$AI$78&lt;&gt;"",ROW($AI$7:$AI$78)-MIN(ROW($AI$7:$AI$78))+1,""),""),ROW()-ROW(A$80)+1))),),"")</f>
        <v/>
      </c>
    </row>
    <row r="138" spans="11:37" x14ac:dyDescent="0.25">
      <c r="K138" s="1" t="str">
        <f t="array" ref="K138">IFERROR(CONCATENATE(TEXT(INDEX($K$7:$K$78,SMALL(IF($N$7:$N$78&lt;&gt;"",IF($K$7:$K$78&lt;&gt;"",ROW($K$7:$K$78)-MIN(ROW($K$7:$K$78))+1,""),""),ROW()-ROW(A$80)+1)),"##0"),","),"")</f>
        <v/>
      </c>
      <c r="L138" s="1" t="str">
        <f t="array" ref="L138">IFERROR(CONCATENATE((INDEX($N$7:$N$78,SMALL(IF($N$7:$N$78&lt;&gt;"",IF($K$7:$K$78&lt;&gt;"",ROW($K$7:$K$78)-MIN(ROW($K$7:$K$78))+1,""),""),ROW()-ROW(A$80)+1))),","),"")</f>
        <v/>
      </c>
      <c r="M138" s="1" t="str">
        <f t="array" ref="M138">IFERROR(CONCATENATE((INDEX($A$7:$A$78,SMALL(IF($N$7:$N$78&lt;&gt;"",IF($K$7:$K$78&lt;&gt;"",ROW($K$7:$K$78)-MIN(ROW($K$7:$K$78))+1,""),""),ROW()-ROW(A$80)+1))),),"")</f>
        <v/>
      </c>
      <c r="Q138" s="1" t="str">
        <f t="array" ref="Q138">IFERROR(CONCATENATE((INDEX($T$7:$T$78,SMALL(IF($T$7:$T$78&lt;&gt;"",IF($Q$7:$Q$78&lt;&gt;"",ROW($Q$7:$Q$78)-MIN(ROW($Q$7:$Q$78))+1,""),""),ROW()-ROW(A$80)+1)))," "),"")</f>
        <v/>
      </c>
      <c r="R138" s="1" t="str">
        <f t="array" ref="R138">IFERROR(CONCATENATE(TEXT(INDEX($Q$7:$Q$78,SMALL(IF($T$7:$T$78&lt;&gt;"",IF($Q$7:$Q$78&lt;&gt;"",ROW($Q$7:$Q$78)-MIN(ROW($Q$7:$Q$78))+1,""),""),ROW()-ROW(A$80)+1)),"##0")," "),"")</f>
        <v/>
      </c>
      <c r="S138" s="1" t="str">
        <f t="array" ref="S138">IFERROR(CONCATENATE((INDEX($A$7:$A$78,SMALL(IF($T$7:$T$78&lt;&gt;"",IF($Q$7:$Q$78&lt;&gt;"",ROW($Q$7:$Q$78)-MIN(ROW($Q$7:$Q$78))+1,""),""),ROW()-ROW(A$80)+1))),),"")</f>
        <v/>
      </c>
      <c r="W138" s="1" t="str">
        <f t="array" ref="W138">IFERROR(CONCATENATE((INDEX($Z$7:$Z$78,SMALL(IF($Z$7:$Z$78&lt;&gt;"",IF($W$7:$W$78&lt;&gt;"",ROW($W$7:$W$78)-MIN(ROW($W$7:$W$78))+1,""),""),ROW()-ROW(A$80)+1)))," "),"")</f>
        <v/>
      </c>
      <c r="X138" s="1" t="str">
        <f t="array" ref="X138">IFERROR(CONCATENATE(TEXT(INDEX($W$7:$W$78,SMALL(IF($Z$7:$Z$78&lt;&gt;"",IF($W$7:$W$78&lt;&gt;"",ROW($W$7:$W$78)-MIN(ROW($W$7:$W$78))+1,""),""),ROW()-ROW(A$80)+1)),"##0")," "),"")</f>
        <v/>
      </c>
      <c r="Y138" s="1" t="str">
        <f t="array" ref="Y138">IFERROR(CONCATENATE((INDEX($A$7:$A$78,SMALL(IF($Z$7:$Z$78&lt;&gt;"",IF($W$7:$W$78&lt;&gt;"",ROW($W$7:$W$78)-MIN(ROW($W$7:$W$78))+1,""),""),ROW()-ROW(A$80)+1))),),"")</f>
        <v/>
      </c>
      <c r="AC138" s="1" t="str">
        <f t="array" ref="AC138">IFERROR(CONCATENATE((INDEX($AF$7:$AF$78,SMALL(IF($AF$7:$AF$78&lt;&gt;"",IF($AC$7:$AC$78&lt;&gt;"",ROW($AC$7:$AC$78)-MIN(ROW($AC$7:$AC$78))+1,""),""),ROW()-ROW(A$80)+1))),","),"")</f>
        <v/>
      </c>
      <c r="AD138" s="1" t="str">
        <f t="array" ref="AD138">IFERROR(CONCATENATE(TEXT(INDEX($AC$7:$AC$78,SMALL(IF($AF$7:$AF$78&lt;&gt;"",IF($AC$7:$AC$78&lt;&gt;"",ROW($AC$7:$AC$78)-MIN(ROW($AC$7:$AC$78))+1,""),""),ROW()-ROW(A$80)+1)),"##0"),","),"")</f>
        <v/>
      </c>
      <c r="AE138" s="1" t="str">
        <f t="array" ref="AE138">IFERROR(CONCATENATE((INDEX($A$7:$A$78,SMALL(IF($AF$7:$AF$78&lt;&gt;"",IF($AC$7:$AC$78&lt;&gt;"",ROW($AC$7:$AC$78)-MIN(ROW($AC$7:$AC$78))+1,""),""),ROW()-ROW(A$80)+1))),),"")</f>
        <v/>
      </c>
      <c r="AI138" s="1" t="str">
        <f t="array" ref="AI138">IFERROR(CONCATENATE((INDEX($AL$7:$AL$78,SMALL(IF($AL$7:$AL$78&lt;&gt;"",IF($AI$7:$AI$78&lt;&gt;"",ROW($AI$7:$AI$78)-MIN(ROW($AI$7:$AI$78))+1,""),""),ROW()-ROW(A$80)+1)))," "),"")</f>
        <v/>
      </c>
      <c r="AJ138" s="1" t="str">
        <f t="array" ref="AJ138">IFERROR(CONCATENATE(TEXT(INDEX($AI$7:$AI$78,SMALL(IF($AL$7:$AL$78&lt;&gt;"",IF($AI$7:$AI$78&lt;&gt;"",ROW($AI$7:$AI$78)-MIN(ROW($AI$7:$AI$78))+1,""),""),ROW()-ROW(A$80)+1)),"##0")," "),"")</f>
        <v/>
      </c>
      <c r="AK138" s="1" t="str">
        <f t="array" ref="AK138">IFERROR(CONCATENATE((INDEX($A$7:$A$78,SMALL(IF($AL$7:$AL$78&lt;&gt;"",IF($AI$7:$AI$78&lt;&gt;"",ROW($AI$7:$AI$78)-MIN(ROW($AI$7:$AI$78))+1,""),""),ROW()-ROW(A$80)+1))),),"")</f>
        <v/>
      </c>
    </row>
    <row r="139" spans="11:37" x14ac:dyDescent="0.25">
      <c r="K139" s="1" t="str">
        <f t="array" ref="K139">IFERROR(CONCATENATE(TEXT(INDEX($K$7:$K$78,SMALL(IF($N$7:$N$78&lt;&gt;"",IF($K$7:$K$78&lt;&gt;"",ROW($K$7:$K$78)-MIN(ROW($K$7:$K$78))+1,""),""),ROW()-ROW(A$80)+1)),"##0"),","),"")</f>
        <v/>
      </c>
      <c r="L139" s="1" t="str">
        <f t="array" ref="L139">IFERROR(CONCATENATE((INDEX($N$7:$N$78,SMALL(IF($N$7:$N$78&lt;&gt;"",IF($K$7:$K$78&lt;&gt;"",ROW($K$7:$K$78)-MIN(ROW($K$7:$K$78))+1,""),""),ROW()-ROW(A$80)+1))),","),"")</f>
        <v/>
      </c>
      <c r="M139" s="1" t="str">
        <f t="array" ref="M139">IFERROR(CONCATENATE((INDEX($A$7:$A$78,SMALL(IF($N$7:$N$78&lt;&gt;"",IF($K$7:$K$78&lt;&gt;"",ROW($K$7:$K$78)-MIN(ROW($K$7:$K$78))+1,""),""),ROW()-ROW(A$80)+1))),),"")</f>
        <v/>
      </c>
      <c r="Q139" s="1" t="str">
        <f t="array" ref="Q139">IFERROR(CONCATENATE((INDEX($T$7:$T$78,SMALL(IF($T$7:$T$78&lt;&gt;"",IF($Q$7:$Q$78&lt;&gt;"",ROW($Q$7:$Q$78)-MIN(ROW($Q$7:$Q$78))+1,""),""),ROW()-ROW(A$80)+1)))," "),"")</f>
        <v/>
      </c>
      <c r="R139" s="1" t="str">
        <f t="array" ref="R139">IFERROR(CONCATENATE(TEXT(INDEX($Q$7:$Q$78,SMALL(IF($T$7:$T$78&lt;&gt;"",IF($Q$7:$Q$78&lt;&gt;"",ROW($Q$7:$Q$78)-MIN(ROW($Q$7:$Q$78))+1,""),""),ROW()-ROW(A$80)+1)),"##0")," "),"")</f>
        <v/>
      </c>
      <c r="S139" s="1" t="str">
        <f t="array" ref="S139">IFERROR(CONCATENATE((INDEX($A$7:$A$78,SMALL(IF($T$7:$T$78&lt;&gt;"",IF($Q$7:$Q$78&lt;&gt;"",ROW($Q$7:$Q$78)-MIN(ROW($Q$7:$Q$78))+1,""),""),ROW()-ROW(A$80)+1))),),"")</f>
        <v/>
      </c>
      <c r="W139" s="1" t="str">
        <f t="array" ref="W139">IFERROR(CONCATENATE((INDEX($Z$7:$Z$78,SMALL(IF($Z$7:$Z$78&lt;&gt;"",IF($W$7:$W$78&lt;&gt;"",ROW($W$7:$W$78)-MIN(ROW($W$7:$W$78))+1,""),""),ROW()-ROW(A$80)+1)))," "),"")</f>
        <v/>
      </c>
      <c r="X139" s="1" t="str">
        <f t="array" ref="X139">IFERROR(CONCATENATE(TEXT(INDEX($W$7:$W$78,SMALL(IF($Z$7:$Z$78&lt;&gt;"",IF($W$7:$W$78&lt;&gt;"",ROW($W$7:$W$78)-MIN(ROW($W$7:$W$78))+1,""),""),ROW()-ROW(A$80)+1)),"##0")," "),"")</f>
        <v/>
      </c>
      <c r="Y139" s="1" t="str">
        <f t="array" ref="Y139">IFERROR(CONCATENATE((INDEX($A$7:$A$78,SMALL(IF($Z$7:$Z$78&lt;&gt;"",IF($W$7:$W$78&lt;&gt;"",ROW($W$7:$W$78)-MIN(ROW($W$7:$W$78))+1,""),""),ROW()-ROW(A$80)+1))),),"")</f>
        <v/>
      </c>
      <c r="AC139" s="1" t="str">
        <f t="array" ref="AC139">IFERROR(CONCATENATE((INDEX($AF$7:$AF$78,SMALL(IF($AF$7:$AF$78&lt;&gt;"",IF($AC$7:$AC$78&lt;&gt;"",ROW($AC$7:$AC$78)-MIN(ROW($AC$7:$AC$78))+1,""),""),ROW()-ROW(A$80)+1))),","),"")</f>
        <v/>
      </c>
      <c r="AD139" s="1" t="str">
        <f t="array" ref="AD139">IFERROR(CONCATENATE(TEXT(INDEX($AC$7:$AC$78,SMALL(IF($AF$7:$AF$78&lt;&gt;"",IF($AC$7:$AC$78&lt;&gt;"",ROW($AC$7:$AC$78)-MIN(ROW($AC$7:$AC$78))+1,""),""),ROW()-ROW(A$80)+1)),"##0"),","),"")</f>
        <v/>
      </c>
      <c r="AE139" s="1" t="str">
        <f t="array" ref="AE139">IFERROR(CONCATENATE((INDEX($A$7:$A$78,SMALL(IF($AF$7:$AF$78&lt;&gt;"",IF($AC$7:$AC$78&lt;&gt;"",ROW($AC$7:$AC$78)-MIN(ROW($AC$7:$AC$78))+1,""),""),ROW()-ROW(A$80)+1))),),"")</f>
        <v/>
      </c>
      <c r="AI139" s="1" t="str">
        <f t="array" ref="AI139">IFERROR(CONCATENATE((INDEX($AL$7:$AL$78,SMALL(IF($AL$7:$AL$78&lt;&gt;"",IF($AI$7:$AI$78&lt;&gt;"",ROW($AI$7:$AI$78)-MIN(ROW($AI$7:$AI$78))+1,""),""),ROW()-ROW(A$80)+1)))," "),"")</f>
        <v/>
      </c>
      <c r="AJ139" s="1" t="str">
        <f t="array" ref="AJ139">IFERROR(CONCATENATE(TEXT(INDEX($AI$7:$AI$78,SMALL(IF($AL$7:$AL$78&lt;&gt;"",IF($AI$7:$AI$78&lt;&gt;"",ROW($AI$7:$AI$78)-MIN(ROW($AI$7:$AI$78))+1,""),""),ROW()-ROW(A$80)+1)),"##0")," "),"")</f>
        <v/>
      </c>
      <c r="AK139" s="1" t="str">
        <f t="array" ref="AK139">IFERROR(CONCATENATE((INDEX($A$7:$A$78,SMALL(IF($AL$7:$AL$78&lt;&gt;"",IF($AI$7:$AI$78&lt;&gt;"",ROW($AI$7:$AI$78)-MIN(ROW($AI$7:$AI$78))+1,""),""),ROW()-ROW(A$80)+1))),),"")</f>
        <v/>
      </c>
    </row>
    <row r="140" spans="11:37" x14ac:dyDescent="0.25">
      <c r="K140" s="1" t="str">
        <f t="array" ref="K140">IFERROR(CONCATENATE(TEXT(INDEX($K$7:$K$78,SMALL(IF($N$7:$N$78&lt;&gt;"",IF($K$7:$K$78&lt;&gt;"",ROW($K$7:$K$78)-MIN(ROW($K$7:$K$78))+1,""),""),ROW()-ROW(A$80)+1)),"##0"),","),"")</f>
        <v/>
      </c>
      <c r="L140" s="1" t="str">
        <f t="array" ref="L140">IFERROR(CONCATENATE((INDEX($N$7:$N$78,SMALL(IF($N$7:$N$78&lt;&gt;"",IF($K$7:$K$78&lt;&gt;"",ROW($K$7:$K$78)-MIN(ROW($K$7:$K$78))+1,""),""),ROW()-ROW(A$80)+1))),","),"")</f>
        <v/>
      </c>
      <c r="M140" s="1" t="str">
        <f t="array" ref="M140">IFERROR(CONCATENATE((INDEX($A$7:$A$78,SMALL(IF($N$7:$N$78&lt;&gt;"",IF($K$7:$K$78&lt;&gt;"",ROW($K$7:$K$78)-MIN(ROW($K$7:$K$78))+1,""),""),ROW()-ROW(A$80)+1))),),"")</f>
        <v/>
      </c>
      <c r="Q140" s="1" t="str">
        <f t="array" ref="Q140">IFERROR(CONCATENATE((INDEX($T$7:$T$78,SMALL(IF($T$7:$T$78&lt;&gt;"",IF($Q$7:$Q$78&lt;&gt;"",ROW($Q$7:$Q$78)-MIN(ROW($Q$7:$Q$78))+1,""),""),ROW()-ROW(A$80)+1)))," "),"")</f>
        <v/>
      </c>
      <c r="R140" s="1" t="str">
        <f t="array" ref="R140">IFERROR(CONCATENATE(TEXT(INDEX($Q$7:$Q$78,SMALL(IF($T$7:$T$78&lt;&gt;"",IF($Q$7:$Q$78&lt;&gt;"",ROW($Q$7:$Q$78)-MIN(ROW($Q$7:$Q$78))+1,""),""),ROW()-ROW(A$80)+1)),"##0")," "),"")</f>
        <v/>
      </c>
      <c r="S140" s="1" t="str">
        <f t="array" ref="S140">IFERROR(CONCATENATE((INDEX($A$7:$A$78,SMALL(IF($T$7:$T$78&lt;&gt;"",IF($Q$7:$Q$78&lt;&gt;"",ROW($Q$7:$Q$78)-MIN(ROW($Q$7:$Q$78))+1,""),""),ROW()-ROW(A$80)+1))),),"")</f>
        <v/>
      </c>
      <c r="W140" s="1" t="str">
        <f t="array" ref="W140">IFERROR(CONCATENATE((INDEX($Z$7:$Z$78,SMALL(IF($Z$7:$Z$78&lt;&gt;"",IF($W$7:$W$78&lt;&gt;"",ROW($W$7:$W$78)-MIN(ROW($W$7:$W$78))+1,""),""),ROW()-ROW(A$80)+1)))," "),"")</f>
        <v/>
      </c>
      <c r="X140" s="1" t="str">
        <f t="array" ref="X140">IFERROR(CONCATENATE(TEXT(INDEX($W$7:$W$78,SMALL(IF($Z$7:$Z$78&lt;&gt;"",IF($W$7:$W$78&lt;&gt;"",ROW($W$7:$W$78)-MIN(ROW($W$7:$W$78))+1,""),""),ROW()-ROW(A$80)+1)),"##0")," "),"")</f>
        <v/>
      </c>
      <c r="Y140" s="1" t="str">
        <f t="array" ref="Y140">IFERROR(CONCATENATE((INDEX($A$7:$A$78,SMALL(IF($Z$7:$Z$78&lt;&gt;"",IF($W$7:$W$78&lt;&gt;"",ROW($W$7:$W$78)-MIN(ROW($W$7:$W$78))+1,""),""),ROW()-ROW(A$80)+1))),),"")</f>
        <v/>
      </c>
      <c r="AC140" s="1" t="str">
        <f t="array" ref="AC140">IFERROR(CONCATENATE((INDEX($AF$7:$AF$78,SMALL(IF($AF$7:$AF$78&lt;&gt;"",IF($AC$7:$AC$78&lt;&gt;"",ROW($AC$7:$AC$78)-MIN(ROW($AC$7:$AC$78))+1,""),""),ROW()-ROW(A$80)+1))),","),"")</f>
        <v/>
      </c>
      <c r="AD140" s="1" t="str">
        <f t="array" ref="AD140">IFERROR(CONCATENATE(TEXT(INDEX($AC$7:$AC$78,SMALL(IF($AF$7:$AF$78&lt;&gt;"",IF($AC$7:$AC$78&lt;&gt;"",ROW($AC$7:$AC$78)-MIN(ROW($AC$7:$AC$78))+1,""),""),ROW()-ROW(A$80)+1)),"##0"),","),"")</f>
        <v/>
      </c>
      <c r="AE140" s="1" t="str">
        <f t="array" ref="AE140">IFERROR(CONCATENATE((INDEX($A$7:$A$78,SMALL(IF($AF$7:$AF$78&lt;&gt;"",IF($AC$7:$AC$78&lt;&gt;"",ROW($AC$7:$AC$78)-MIN(ROW($AC$7:$AC$78))+1,""),""),ROW()-ROW(A$80)+1))),),"")</f>
        <v/>
      </c>
      <c r="AI140" s="1" t="str">
        <f t="array" ref="AI140">IFERROR(CONCATENATE((INDEX($AL$7:$AL$78,SMALL(IF($AL$7:$AL$78&lt;&gt;"",IF($AI$7:$AI$78&lt;&gt;"",ROW($AI$7:$AI$78)-MIN(ROW($AI$7:$AI$78))+1,""),""),ROW()-ROW(A$80)+1)))," "),"")</f>
        <v/>
      </c>
      <c r="AJ140" s="1" t="str">
        <f t="array" ref="AJ140">IFERROR(CONCATENATE(TEXT(INDEX($AI$7:$AI$78,SMALL(IF($AL$7:$AL$78&lt;&gt;"",IF($AI$7:$AI$78&lt;&gt;"",ROW($AI$7:$AI$78)-MIN(ROW($AI$7:$AI$78))+1,""),""),ROW()-ROW(A$80)+1)),"##0")," "),"")</f>
        <v/>
      </c>
      <c r="AK140" s="1" t="str">
        <f t="array" ref="AK140">IFERROR(CONCATENATE((INDEX($A$7:$A$78,SMALL(IF($AL$7:$AL$78&lt;&gt;"",IF($AI$7:$AI$78&lt;&gt;"",ROW($AI$7:$AI$78)-MIN(ROW($AI$7:$AI$78))+1,""),""),ROW()-ROW(A$80)+1))),),"")</f>
        <v/>
      </c>
    </row>
    <row r="141" spans="11:37" x14ac:dyDescent="0.25">
      <c r="K141" s="1" t="str">
        <f t="array" ref="K141">IFERROR(CONCATENATE(TEXT(INDEX($K$7:$K$78,SMALL(IF($N$7:$N$78&lt;&gt;"",IF($K$7:$K$78&lt;&gt;"",ROW($K$7:$K$78)-MIN(ROW($K$7:$K$78))+1,""),""),ROW()-ROW(A$80)+1)),"##0"),","),"")</f>
        <v/>
      </c>
      <c r="L141" s="1" t="str">
        <f t="array" ref="L141">IFERROR(CONCATENATE((INDEX($N$7:$N$78,SMALL(IF($N$7:$N$78&lt;&gt;"",IF($K$7:$K$78&lt;&gt;"",ROW($K$7:$K$78)-MIN(ROW($K$7:$K$78))+1,""),""),ROW()-ROW(A$80)+1))),","),"")</f>
        <v/>
      </c>
      <c r="M141" s="1" t="str">
        <f t="array" ref="M141">IFERROR(CONCATENATE((INDEX($A$7:$A$78,SMALL(IF($N$7:$N$78&lt;&gt;"",IF($K$7:$K$78&lt;&gt;"",ROW($K$7:$K$78)-MIN(ROW($K$7:$K$78))+1,""),""),ROW()-ROW(A$80)+1))),),"")</f>
        <v/>
      </c>
      <c r="Q141" s="1" t="str">
        <f t="array" ref="Q141">IFERROR(CONCATENATE((INDEX($T$7:$T$78,SMALL(IF($T$7:$T$78&lt;&gt;"",IF($Q$7:$Q$78&lt;&gt;"",ROW($Q$7:$Q$78)-MIN(ROW($Q$7:$Q$78))+1,""),""),ROW()-ROW(A$80)+1)))," "),"")</f>
        <v/>
      </c>
      <c r="R141" s="1" t="str">
        <f t="array" ref="R141">IFERROR(CONCATENATE(TEXT(INDEX($Q$7:$Q$78,SMALL(IF($T$7:$T$78&lt;&gt;"",IF($Q$7:$Q$78&lt;&gt;"",ROW($Q$7:$Q$78)-MIN(ROW($Q$7:$Q$78))+1,""),""),ROW()-ROW(A$80)+1)),"##0")," "),"")</f>
        <v/>
      </c>
      <c r="S141" s="1" t="str">
        <f t="array" ref="S141">IFERROR(CONCATENATE((INDEX($A$7:$A$78,SMALL(IF($T$7:$T$78&lt;&gt;"",IF($Q$7:$Q$78&lt;&gt;"",ROW($Q$7:$Q$78)-MIN(ROW($Q$7:$Q$78))+1,""),""),ROW()-ROW(A$80)+1))),),"")</f>
        <v/>
      </c>
      <c r="W141" s="1" t="str">
        <f t="array" ref="W141">IFERROR(CONCATENATE((INDEX($Z$7:$Z$78,SMALL(IF($Z$7:$Z$78&lt;&gt;"",IF($W$7:$W$78&lt;&gt;"",ROW($W$7:$W$78)-MIN(ROW($W$7:$W$78))+1,""),""),ROW()-ROW(A$80)+1)))," "),"")</f>
        <v/>
      </c>
      <c r="X141" s="1" t="str">
        <f t="array" ref="X141">IFERROR(CONCATENATE(TEXT(INDEX($W$7:$W$78,SMALL(IF($Z$7:$Z$78&lt;&gt;"",IF($W$7:$W$78&lt;&gt;"",ROW($W$7:$W$78)-MIN(ROW($W$7:$W$78))+1,""),""),ROW()-ROW(A$80)+1)),"##0")," "),"")</f>
        <v/>
      </c>
      <c r="Y141" s="1" t="str">
        <f t="array" ref="Y141">IFERROR(CONCATENATE((INDEX($A$7:$A$78,SMALL(IF($Z$7:$Z$78&lt;&gt;"",IF($W$7:$W$78&lt;&gt;"",ROW($W$7:$W$78)-MIN(ROW($W$7:$W$78))+1,""),""),ROW()-ROW(A$80)+1))),),"")</f>
        <v/>
      </c>
      <c r="AC141" s="1" t="str">
        <f t="array" ref="AC141">IFERROR(CONCATENATE((INDEX($AF$7:$AF$78,SMALL(IF($AF$7:$AF$78&lt;&gt;"",IF($AC$7:$AC$78&lt;&gt;"",ROW($AC$7:$AC$78)-MIN(ROW($AC$7:$AC$78))+1,""),""),ROW()-ROW(A$80)+1))),","),"")</f>
        <v/>
      </c>
      <c r="AD141" s="1" t="str">
        <f t="array" ref="AD141">IFERROR(CONCATENATE(TEXT(INDEX($AC$7:$AC$78,SMALL(IF($AF$7:$AF$78&lt;&gt;"",IF($AC$7:$AC$78&lt;&gt;"",ROW($AC$7:$AC$78)-MIN(ROW($AC$7:$AC$78))+1,""),""),ROW()-ROW(A$80)+1)),"##0"),","),"")</f>
        <v/>
      </c>
      <c r="AE141" s="1" t="str">
        <f t="array" ref="AE141">IFERROR(CONCATENATE((INDEX($A$7:$A$78,SMALL(IF($AF$7:$AF$78&lt;&gt;"",IF($AC$7:$AC$78&lt;&gt;"",ROW($AC$7:$AC$78)-MIN(ROW($AC$7:$AC$78))+1,""),""),ROW()-ROW(A$80)+1))),),"")</f>
        <v/>
      </c>
      <c r="AI141" s="1" t="str">
        <f t="array" ref="AI141">IFERROR(CONCATENATE((INDEX($AL$7:$AL$78,SMALL(IF($AL$7:$AL$78&lt;&gt;"",IF($AI$7:$AI$78&lt;&gt;"",ROW($AI$7:$AI$78)-MIN(ROW($AI$7:$AI$78))+1,""),""),ROW()-ROW(A$80)+1)))," "),"")</f>
        <v/>
      </c>
      <c r="AJ141" s="1" t="str">
        <f t="array" ref="AJ141">IFERROR(CONCATENATE(TEXT(INDEX($AI$7:$AI$78,SMALL(IF($AL$7:$AL$78&lt;&gt;"",IF($AI$7:$AI$78&lt;&gt;"",ROW($AI$7:$AI$78)-MIN(ROW($AI$7:$AI$78))+1,""),""),ROW()-ROW(A$80)+1)),"##0")," "),"")</f>
        <v/>
      </c>
      <c r="AK141" s="1" t="str">
        <f t="array" ref="AK141">IFERROR(CONCATENATE((INDEX($A$7:$A$78,SMALL(IF($AL$7:$AL$78&lt;&gt;"",IF($AI$7:$AI$78&lt;&gt;"",ROW($AI$7:$AI$78)-MIN(ROW($AI$7:$AI$78))+1,""),""),ROW()-ROW(A$80)+1))),),"")</f>
        <v/>
      </c>
    </row>
    <row r="142" spans="11:37" x14ac:dyDescent="0.25">
      <c r="K142" s="1" t="str">
        <f t="array" ref="K142">IFERROR(CONCATENATE(TEXT(INDEX($K$7:$K$78,SMALL(IF($N$7:$N$78&lt;&gt;"",IF($K$7:$K$78&lt;&gt;"",ROW($K$7:$K$78)-MIN(ROW($K$7:$K$78))+1,""),""),ROW()-ROW(A$80)+1)),"##0"),","),"")</f>
        <v/>
      </c>
      <c r="L142" s="1" t="str">
        <f t="array" ref="L142">IFERROR(CONCATENATE((INDEX($N$7:$N$78,SMALL(IF($N$7:$N$78&lt;&gt;"",IF($K$7:$K$78&lt;&gt;"",ROW($K$7:$K$78)-MIN(ROW($K$7:$K$78))+1,""),""),ROW()-ROW(A$80)+1))),","),"")</f>
        <v/>
      </c>
      <c r="M142" s="1" t="str">
        <f t="array" ref="M142">IFERROR(CONCATENATE((INDEX($A$7:$A$78,SMALL(IF($N$7:$N$78&lt;&gt;"",IF($K$7:$K$78&lt;&gt;"",ROW($K$7:$K$78)-MIN(ROW($K$7:$K$78))+1,""),""),ROW()-ROW(A$80)+1))),),"")</f>
        <v/>
      </c>
      <c r="Q142" s="1" t="str">
        <f t="array" ref="Q142">IFERROR(CONCATENATE((INDEX($T$7:$T$78,SMALL(IF($T$7:$T$78&lt;&gt;"",IF($Q$7:$Q$78&lt;&gt;"",ROW($Q$7:$Q$78)-MIN(ROW($Q$7:$Q$78))+1,""),""),ROW()-ROW(A$80)+1)))," "),"")</f>
        <v/>
      </c>
      <c r="R142" s="1" t="str">
        <f t="array" ref="R142">IFERROR(CONCATENATE(TEXT(INDEX($Q$7:$Q$78,SMALL(IF($T$7:$T$78&lt;&gt;"",IF($Q$7:$Q$78&lt;&gt;"",ROW($Q$7:$Q$78)-MIN(ROW($Q$7:$Q$78))+1,""),""),ROW()-ROW(A$80)+1)),"##0")," "),"")</f>
        <v/>
      </c>
      <c r="S142" s="1" t="str">
        <f t="array" ref="S142">IFERROR(CONCATENATE((INDEX($A$7:$A$78,SMALL(IF($T$7:$T$78&lt;&gt;"",IF($Q$7:$Q$78&lt;&gt;"",ROW($Q$7:$Q$78)-MIN(ROW($Q$7:$Q$78))+1,""),""),ROW()-ROW(A$80)+1))),),"")</f>
        <v/>
      </c>
      <c r="W142" s="1" t="str">
        <f t="array" ref="W142">IFERROR(CONCATENATE((INDEX($Z$7:$Z$78,SMALL(IF($Z$7:$Z$78&lt;&gt;"",IF($W$7:$W$78&lt;&gt;"",ROW($W$7:$W$78)-MIN(ROW($W$7:$W$78))+1,""),""),ROW()-ROW(A$80)+1)))," "),"")</f>
        <v/>
      </c>
      <c r="X142" s="1" t="str">
        <f t="array" ref="X142">IFERROR(CONCATENATE(TEXT(INDEX($W$7:$W$78,SMALL(IF($Z$7:$Z$78&lt;&gt;"",IF($W$7:$W$78&lt;&gt;"",ROW($W$7:$W$78)-MIN(ROW($W$7:$W$78))+1,""),""),ROW()-ROW(A$80)+1)),"##0")," "),"")</f>
        <v/>
      </c>
      <c r="Y142" s="1" t="str">
        <f t="array" ref="Y142">IFERROR(CONCATENATE((INDEX($A$7:$A$78,SMALL(IF($Z$7:$Z$78&lt;&gt;"",IF($W$7:$W$78&lt;&gt;"",ROW($W$7:$W$78)-MIN(ROW($W$7:$W$78))+1,""),""),ROW()-ROW(A$80)+1))),),"")</f>
        <v/>
      </c>
      <c r="AC142" s="1" t="str">
        <f t="array" ref="AC142">IFERROR(CONCATENATE((INDEX($AF$7:$AF$78,SMALL(IF($AF$7:$AF$78&lt;&gt;"",IF($AC$7:$AC$78&lt;&gt;"",ROW($AC$7:$AC$78)-MIN(ROW($AC$7:$AC$78))+1,""),""),ROW()-ROW(A$80)+1))),","),"")</f>
        <v/>
      </c>
      <c r="AD142" s="1" t="str">
        <f t="array" ref="AD142">IFERROR(CONCATENATE(TEXT(INDEX($AC$7:$AC$78,SMALL(IF($AF$7:$AF$78&lt;&gt;"",IF($AC$7:$AC$78&lt;&gt;"",ROW($AC$7:$AC$78)-MIN(ROW($AC$7:$AC$78))+1,""),""),ROW()-ROW(A$80)+1)),"##0"),","),"")</f>
        <v/>
      </c>
      <c r="AE142" s="1" t="str">
        <f t="array" ref="AE142">IFERROR(CONCATENATE((INDEX($A$7:$A$78,SMALL(IF($AF$7:$AF$78&lt;&gt;"",IF($AC$7:$AC$78&lt;&gt;"",ROW($AC$7:$AC$78)-MIN(ROW($AC$7:$AC$78))+1,""),""),ROW()-ROW(A$80)+1))),),"")</f>
        <v/>
      </c>
      <c r="AI142" s="1" t="str">
        <f t="array" ref="AI142">IFERROR(CONCATENATE((INDEX($AL$7:$AL$78,SMALL(IF($AL$7:$AL$78&lt;&gt;"",IF($AI$7:$AI$78&lt;&gt;"",ROW($AI$7:$AI$78)-MIN(ROW($AI$7:$AI$78))+1,""),""),ROW()-ROW(A$80)+1)))," "),"")</f>
        <v/>
      </c>
      <c r="AJ142" s="1" t="str">
        <f t="array" ref="AJ142">IFERROR(CONCATENATE(TEXT(INDEX($AI$7:$AI$78,SMALL(IF($AL$7:$AL$78&lt;&gt;"",IF($AI$7:$AI$78&lt;&gt;"",ROW($AI$7:$AI$78)-MIN(ROW($AI$7:$AI$78))+1,""),""),ROW()-ROW(A$80)+1)),"##0")," "),"")</f>
        <v/>
      </c>
      <c r="AK142" s="1" t="str">
        <f t="array" ref="AK142">IFERROR(CONCATENATE((INDEX($A$7:$A$78,SMALL(IF($AL$7:$AL$78&lt;&gt;"",IF($AI$7:$AI$78&lt;&gt;"",ROW($AI$7:$AI$78)-MIN(ROW($AI$7:$AI$78))+1,""),""),ROW()-ROW(A$80)+1))),),"")</f>
        <v/>
      </c>
    </row>
    <row r="143" spans="11:37" x14ac:dyDescent="0.25">
      <c r="K143" s="1" t="str">
        <f t="array" ref="K143">IFERROR(CONCATENATE(TEXT(INDEX($K$7:$K$78,SMALL(IF($N$7:$N$78&lt;&gt;"",IF($K$7:$K$78&lt;&gt;"",ROW($K$7:$K$78)-MIN(ROW($K$7:$K$78))+1,""),""),ROW()-ROW(A$80)+1)),"##0"),","),"")</f>
        <v/>
      </c>
      <c r="L143" s="1" t="str">
        <f t="array" ref="L143">IFERROR(CONCATENATE((INDEX($N$7:$N$78,SMALL(IF($N$7:$N$78&lt;&gt;"",IF($K$7:$K$78&lt;&gt;"",ROW($K$7:$K$78)-MIN(ROW($K$7:$K$78))+1,""),""),ROW()-ROW(A$80)+1))),","),"")</f>
        <v/>
      </c>
      <c r="M143" s="1" t="str">
        <f t="array" ref="M143">IFERROR(CONCATENATE((INDEX($A$7:$A$78,SMALL(IF($N$7:$N$78&lt;&gt;"",IF($K$7:$K$78&lt;&gt;"",ROW($K$7:$K$78)-MIN(ROW($K$7:$K$78))+1,""),""),ROW()-ROW(A$80)+1))),),"")</f>
        <v/>
      </c>
      <c r="Q143" s="1" t="str">
        <f t="array" ref="Q143">IFERROR(CONCATENATE((INDEX($T$7:$T$78,SMALL(IF($T$7:$T$78&lt;&gt;"",IF($Q$7:$Q$78&lt;&gt;"",ROW($Q$7:$Q$78)-MIN(ROW($Q$7:$Q$78))+1,""),""),ROW()-ROW(A$80)+1)))," "),"")</f>
        <v/>
      </c>
      <c r="R143" s="1" t="str">
        <f t="array" ref="R143">IFERROR(CONCATENATE(TEXT(INDEX($Q$7:$Q$78,SMALL(IF($T$7:$T$78&lt;&gt;"",IF($Q$7:$Q$78&lt;&gt;"",ROW($Q$7:$Q$78)-MIN(ROW($Q$7:$Q$78))+1,""),""),ROW()-ROW(A$80)+1)),"##0")," "),"")</f>
        <v/>
      </c>
      <c r="S143" s="1" t="str">
        <f t="array" ref="S143">IFERROR(CONCATENATE((INDEX($A$7:$A$78,SMALL(IF($T$7:$T$78&lt;&gt;"",IF($Q$7:$Q$78&lt;&gt;"",ROW($Q$7:$Q$78)-MIN(ROW($Q$7:$Q$78))+1,""),""),ROW()-ROW(A$80)+1))),),"")</f>
        <v/>
      </c>
      <c r="W143" s="1" t="str">
        <f t="array" ref="W143">IFERROR(CONCATENATE((INDEX($Z$7:$Z$78,SMALL(IF($Z$7:$Z$78&lt;&gt;"",IF($W$7:$W$78&lt;&gt;"",ROW($W$7:$W$78)-MIN(ROW($W$7:$W$78))+1,""),""),ROW()-ROW(A$80)+1)))," "),"")</f>
        <v/>
      </c>
      <c r="X143" s="1" t="str">
        <f t="array" ref="X143">IFERROR(CONCATENATE(TEXT(INDEX($W$7:$W$78,SMALL(IF($Z$7:$Z$78&lt;&gt;"",IF($W$7:$W$78&lt;&gt;"",ROW($W$7:$W$78)-MIN(ROW($W$7:$W$78))+1,""),""),ROW()-ROW(A$80)+1)),"##0")," "),"")</f>
        <v/>
      </c>
      <c r="Y143" s="1" t="str">
        <f t="array" ref="Y143">IFERROR(CONCATENATE((INDEX($A$7:$A$78,SMALL(IF($Z$7:$Z$78&lt;&gt;"",IF($W$7:$W$78&lt;&gt;"",ROW($W$7:$W$78)-MIN(ROW($W$7:$W$78))+1,""),""),ROW()-ROW(A$80)+1))),),"")</f>
        <v/>
      </c>
      <c r="AC143" s="1" t="str">
        <f t="array" ref="AC143">IFERROR(CONCATENATE((INDEX($AF$7:$AF$78,SMALL(IF($AF$7:$AF$78&lt;&gt;"",IF($AC$7:$AC$78&lt;&gt;"",ROW($AC$7:$AC$78)-MIN(ROW($AC$7:$AC$78))+1,""),""),ROW()-ROW(A$80)+1))),","),"")</f>
        <v/>
      </c>
      <c r="AD143" s="1" t="str">
        <f t="array" ref="AD143">IFERROR(CONCATENATE(TEXT(INDEX($AC$7:$AC$78,SMALL(IF($AF$7:$AF$78&lt;&gt;"",IF($AC$7:$AC$78&lt;&gt;"",ROW($AC$7:$AC$78)-MIN(ROW($AC$7:$AC$78))+1,""),""),ROW()-ROW(A$80)+1)),"##0"),","),"")</f>
        <v/>
      </c>
      <c r="AE143" s="1" t="str">
        <f t="array" ref="AE143">IFERROR(CONCATENATE((INDEX($A$7:$A$78,SMALL(IF($AF$7:$AF$78&lt;&gt;"",IF($AC$7:$AC$78&lt;&gt;"",ROW($AC$7:$AC$78)-MIN(ROW($AC$7:$AC$78))+1,""),""),ROW()-ROW(A$80)+1))),),"")</f>
        <v/>
      </c>
      <c r="AI143" s="1" t="str">
        <f t="array" ref="AI143">IFERROR(CONCATENATE((INDEX($AL$7:$AL$78,SMALL(IF($AL$7:$AL$78&lt;&gt;"",IF($AI$7:$AI$78&lt;&gt;"",ROW($AI$7:$AI$78)-MIN(ROW($AI$7:$AI$78))+1,""),""),ROW()-ROW(A$80)+1)))," "),"")</f>
        <v/>
      </c>
      <c r="AJ143" s="1" t="str">
        <f t="array" ref="AJ143">IFERROR(CONCATENATE(TEXT(INDEX($AI$7:$AI$78,SMALL(IF($AL$7:$AL$78&lt;&gt;"",IF($AI$7:$AI$78&lt;&gt;"",ROW($AI$7:$AI$78)-MIN(ROW($AI$7:$AI$78))+1,""),""),ROW()-ROW(A$80)+1)),"##0")," "),"")</f>
        <v/>
      </c>
      <c r="AK143" s="1" t="str">
        <f t="array" ref="AK143">IFERROR(CONCATENATE((INDEX($A$7:$A$78,SMALL(IF($AL$7:$AL$78&lt;&gt;"",IF($AI$7:$AI$78&lt;&gt;"",ROW($AI$7:$AI$78)-MIN(ROW($AI$7:$AI$78))+1,""),""),ROW()-ROW(A$80)+1))),),"")</f>
        <v/>
      </c>
    </row>
    <row r="144" spans="11:37" x14ac:dyDescent="0.25">
      <c r="K144" s="1" t="str">
        <f t="array" ref="K144">IFERROR(CONCATENATE(TEXT(INDEX($K$7:$K$78,SMALL(IF($N$7:$N$78&lt;&gt;"",IF($K$7:$K$78&lt;&gt;"",ROW($K$7:$K$78)-MIN(ROW($K$7:$K$78))+1,""),""),ROW()-ROW(A$80)+1)),"##0"),","),"")</f>
        <v/>
      </c>
      <c r="L144" s="1" t="str">
        <f t="array" ref="L144">IFERROR(CONCATENATE((INDEX($N$7:$N$78,SMALL(IF($N$7:$N$78&lt;&gt;"",IF($K$7:$K$78&lt;&gt;"",ROW($K$7:$K$78)-MIN(ROW($K$7:$K$78))+1,""),""),ROW()-ROW(A$80)+1))),","),"")</f>
        <v/>
      </c>
      <c r="M144" s="1" t="str">
        <f t="array" ref="M144">IFERROR(CONCATENATE((INDEX($A$7:$A$78,SMALL(IF($N$7:$N$78&lt;&gt;"",IF($K$7:$K$78&lt;&gt;"",ROW($K$7:$K$78)-MIN(ROW($K$7:$K$78))+1,""),""),ROW()-ROW(A$80)+1))),),"")</f>
        <v/>
      </c>
      <c r="Q144" s="1" t="str">
        <f t="array" ref="Q144">IFERROR(CONCATENATE((INDEX($T$7:$T$78,SMALL(IF($T$7:$T$78&lt;&gt;"",IF($Q$7:$Q$78&lt;&gt;"",ROW($Q$7:$Q$78)-MIN(ROW($Q$7:$Q$78))+1,""),""),ROW()-ROW(A$80)+1)))," "),"")</f>
        <v/>
      </c>
      <c r="R144" s="1" t="str">
        <f t="array" ref="R144">IFERROR(CONCATENATE(TEXT(INDEX($Q$7:$Q$78,SMALL(IF($T$7:$T$78&lt;&gt;"",IF($Q$7:$Q$78&lt;&gt;"",ROW($Q$7:$Q$78)-MIN(ROW($Q$7:$Q$78))+1,""),""),ROW()-ROW(A$80)+1)),"##0")," "),"")</f>
        <v/>
      </c>
      <c r="S144" s="1" t="str">
        <f t="array" ref="S144">IFERROR(CONCATENATE((INDEX($A$7:$A$78,SMALL(IF($T$7:$T$78&lt;&gt;"",IF($Q$7:$Q$78&lt;&gt;"",ROW($Q$7:$Q$78)-MIN(ROW($Q$7:$Q$78))+1,""),""),ROW()-ROW(A$80)+1))),),"")</f>
        <v/>
      </c>
      <c r="W144" s="1" t="str">
        <f t="array" ref="W144">IFERROR(CONCATENATE((INDEX($Z$7:$Z$78,SMALL(IF($Z$7:$Z$78&lt;&gt;"",IF($W$7:$W$78&lt;&gt;"",ROW($W$7:$W$78)-MIN(ROW($W$7:$W$78))+1,""),""),ROW()-ROW(A$80)+1)))," "),"")</f>
        <v/>
      </c>
      <c r="X144" s="1" t="str">
        <f t="array" ref="X144">IFERROR(CONCATENATE(TEXT(INDEX($W$7:$W$78,SMALL(IF($Z$7:$Z$78&lt;&gt;"",IF($W$7:$W$78&lt;&gt;"",ROW($W$7:$W$78)-MIN(ROW($W$7:$W$78))+1,""),""),ROW()-ROW(A$80)+1)),"##0")," "),"")</f>
        <v/>
      </c>
      <c r="Y144" s="1" t="str">
        <f t="array" ref="Y144">IFERROR(CONCATENATE((INDEX($A$7:$A$78,SMALL(IF($Z$7:$Z$78&lt;&gt;"",IF($W$7:$W$78&lt;&gt;"",ROW($W$7:$W$78)-MIN(ROW($W$7:$W$78))+1,""),""),ROW()-ROW(A$80)+1))),),"")</f>
        <v/>
      </c>
      <c r="AC144" s="1" t="str">
        <f t="array" ref="AC144">IFERROR(CONCATENATE((INDEX($AF$7:$AF$78,SMALL(IF($AF$7:$AF$78&lt;&gt;"",IF($AC$7:$AC$78&lt;&gt;"",ROW($AC$7:$AC$78)-MIN(ROW($AC$7:$AC$78))+1,""),""),ROW()-ROW(A$80)+1))),","),"")</f>
        <v/>
      </c>
      <c r="AD144" s="1" t="str">
        <f t="array" ref="AD144">IFERROR(CONCATENATE(TEXT(INDEX($AC$7:$AC$78,SMALL(IF($AF$7:$AF$78&lt;&gt;"",IF($AC$7:$AC$78&lt;&gt;"",ROW($AC$7:$AC$78)-MIN(ROW($AC$7:$AC$78))+1,""),""),ROW()-ROW(A$80)+1)),"##0"),","),"")</f>
        <v/>
      </c>
      <c r="AE144" s="1" t="str">
        <f t="array" ref="AE144">IFERROR(CONCATENATE((INDEX($A$7:$A$78,SMALL(IF($AF$7:$AF$78&lt;&gt;"",IF($AC$7:$AC$78&lt;&gt;"",ROW($AC$7:$AC$78)-MIN(ROW($AC$7:$AC$78))+1,""),""),ROW()-ROW(A$80)+1))),),"")</f>
        <v/>
      </c>
      <c r="AI144" s="1" t="str">
        <f t="array" ref="AI144">IFERROR(CONCATENATE((INDEX($AL$7:$AL$78,SMALL(IF($AL$7:$AL$78&lt;&gt;"",IF($AI$7:$AI$78&lt;&gt;"",ROW($AI$7:$AI$78)-MIN(ROW($AI$7:$AI$78))+1,""),""),ROW()-ROW(A$80)+1)))," "),"")</f>
        <v/>
      </c>
      <c r="AJ144" s="1" t="str">
        <f t="array" ref="AJ144">IFERROR(CONCATENATE(TEXT(INDEX($AI$7:$AI$78,SMALL(IF($AL$7:$AL$78&lt;&gt;"",IF($AI$7:$AI$78&lt;&gt;"",ROW($AI$7:$AI$78)-MIN(ROW($AI$7:$AI$78))+1,""),""),ROW()-ROW(A$80)+1)),"##0")," "),"")</f>
        <v/>
      </c>
      <c r="AK144" s="1" t="str">
        <f t="array" ref="AK144">IFERROR(CONCATENATE((INDEX($A$7:$A$78,SMALL(IF($AL$7:$AL$78&lt;&gt;"",IF($AI$7:$AI$78&lt;&gt;"",ROW($AI$7:$AI$78)-MIN(ROW($AI$7:$AI$78))+1,""),""),ROW()-ROW(A$80)+1))),),"")</f>
        <v/>
      </c>
    </row>
    <row r="145" spans="11:37" x14ac:dyDescent="0.25">
      <c r="K145" s="1" t="str">
        <f t="array" ref="K145">IFERROR(CONCATENATE(TEXT(INDEX($K$7:$K$78,SMALL(IF($N$7:$N$78&lt;&gt;"",IF($K$7:$K$78&lt;&gt;"",ROW($K$7:$K$78)-MIN(ROW($K$7:$K$78))+1,""),""),ROW()-ROW(A$80)+1)),"##0"),","),"")</f>
        <v/>
      </c>
      <c r="L145" s="1" t="str">
        <f t="array" ref="L145">IFERROR(CONCATENATE((INDEX($N$7:$N$78,SMALL(IF($N$7:$N$78&lt;&gt;"",IF($K$7:$K$78&lt;&gt;"",ROW($K$7:$K$78)-MIN(ROW($K$7:$K$78))+1,""),""),ROW()-ROW(A$80)+1))),","),"")</f>
        <v/>
      </c>
      <c r="M145" s="1" t="str">
        <f t="array" ref="M145">IFERROR(CONCATENATE((INDEX($A$7:$A$78,SMALL(IF($N$7:$N$78&lt;&gt;"",IF($K$7:$K$78&lt;&gt;"",ROW($K$7:$K$78)-MIN(ROW($K$7:$K$78))+1,""),""),ROW()-ROW(A$80)+1))),),"")</f>
        <v/>
      </c>
      <c r="Q145" s="1" t="str">
        <f t="array" ref="Q145">IFERROR(CONCATENATE((INDEX($T$7:$T$78,SMALL(IF($T$7:$T$78&lt;&gt;"",IF($Q$7:$Q$78&lt;&gt;"",ROW($Q$7:$Q$78)-MIN(ROW($Q$7:$Q$78))+1,""),""),ROW()-ROW(A$80)+1)))," "),"")</f>
        <v/>
      </c>
      <c r="R145" s="1" t="str">
        <f t="array" ref="R145">IFERROR(CONCATENATE(TEXT(INDEX($Q$7:$Q$78,SMALL(IF($T$7:$T$78&lt;&gt;"",IF($Q$7:$Q$78&lt;&gt;"",ROW($Q$7:$Q$78)-MIN(ROW($Q$7:$Q$78))+1,""),""),ROW()-ROW(A$80)+1)),"##0")," "),"")</f>
        <v/>
      </c>
      <c r="S145" s="1" t="str">
        <f t="array" ref="S145">IFERROR(CONCATENATE((INDEX($A$7:$A$78,SMALL(IF($T$7:$T$78&lt;&gt;"",IF($Q$7:$Q$78&lt;&gt;"",ROW($Q$7:$Q$78)-MIN(ROW($Q$7:$Q$78))+1,""),""),ROW()-ROW(A$80)+1))),),"")</f>
        <v/>
      </c>
      <c r="W145" s="1" t="str">
        <f t="array" ref="W145">IFERROR(CONCATENATE((INDEX($Z$7:$Z$78,SMALL(IF($Z$7:$Z$78&lt;&gt;"",IF($W$7:$W$78&lt;&gt;"",ROW($W$7:$W$78)-MIN(ROW($W$7:$W$78))+1,""),""),ROW()-ROW(A$80)+1)))," "),"")</f>
        <v/>
      </c>
      <c r="X145" s="1" t="str">
        <f t="array" ref="X145">IFERROR(CONCATENATE(TEXT(INDEX($W$7:$W$78,SMALL(IF($Z$7:$Z$78&lt;&gt;"",IF($W$7:$W$78&lt;&gt;"",ROW($W$7:$W$78)-MIN(ROW($W$7:$W$78))+1,""),""),ROW()-ROW(A$80)+1)),"##0")," "),"")</f>
        <v/>
      </c>
      <c r="Y145" s="1" t="str">
        <f t="array" ref="Y145">IFERROR(CONCATENATE((INDEX($A$7:$A$78,SMALL(IF($Z$7:$Z$78&lt;&gt;"",IF($W$7:$W$78&lt;&gt;"",ROW($W$7:$W$78)-MIN(ROW($W$7:$W$78))+1,""),""),ROW()-ROW(A$80)+1))),),"")</f>
        <v/>
      </c>
      <c r="AC145" s="1" t="str">
        <f t="array" ref="AC145">IFERROR(CONCATENATE((INDEX($AF$7:$AF$78,SMALL(IF($AF$7:$AF$78&lt;&gt;"",IF($AC$7:$AC$78&lt;&gt;"",ROW($AC$7:$AC$78)-MIN(ROW($AC$7:$AC$78))+1,""),""),ROW()-ROW(A$80)+1))),","),"")</f>
        <v/>
      </c>
      <c r="AD145" s="1" t="str">
        <f t="array" ref="AD145">IFERROR(CONCATENATE(TEXT(INDEX($AC$7:$AC$78,SMALL(IF($AF$7:$AF$78&lt;&gt;"",IF($AC$7:$AC$78&lt;&gt;"",ROW($AC$7:$AC$78)-MIN(ROW($AC$7:$AC$78))+1,""),""),ROW()-ROW(A$80)+1)),"##0"),","),"")</f>
        <v/>
      </c>
      <c r="AE145" s="1" t="str">
        <f t="array" ref="AE145">IFERROR(CONCATENATE((INDEX($A$7:$A$78,SMALL(IF($AF$7:$AF$78&lt;&gt;"",IF($AC$7:$AC$78&lt;&gt;"",ROW($AC$7:$AC$78)-MIN(ROW($AC$7:$AC$78))+1,""),""),ROW()-ROW(A$80)+1))),),"")</f>
        <v/>
      </c>
      <c r="AI145" s="1" t="str">
        <f t="array" ref="AI145">IFERROR(CONCATENATE((INDEX($AL$7:$AL$78,SMALL(IF($AL$7:$AL$78&lt;&gt;"",IF($AI$7:$AI$78&lt;&gt;"",ROW($AI$7:$AI$78)-MIN(ROW($AI$7:$AI$78))+1,""),""),ROW()-ROW(A$80)+1)))," "),"")</f>
        <v/>
      </c>
      <c r="AJ145" s="1" t="str">
        <f t="array" ref="AJ145">IFERROR(CONCATENATE(TEXT(INDEX($AI$7:$AI$78,SMALL(IF($AL$7:$AL$78&lt;&gt;"",IF($AI$7:$AI$78&lt;&gt;"",ROW($AI$7:$AI$78)-MIN(ROW($AI$7:$AI$78))+1,""),""),ROW()-ROW(A$80)+1)),"##0")," "),"")</f>
        <v/>
      </c>
      <c r="AK145" s="1" t="str">
        <f t="array" ref="AK145">IFERROR(CONCATENATE((INDEX($A$7:$A$78,SMALL(IF($AL$7:$AL$78&lt;&gt;"",IF($AI$7:$AI$78&lt;&gt;"",ROW($AI$7:$AI$78)-MIN(ROW($AI$7:$AI$78))+1,""),""),ROW()-ROW(A$80)+1))),),"")</f>
        <v/>
      </c>
    </row>
    <row r="146" spans="11:37" x14ac:dyDescent="0.25">
      <c r="K146" s="1" t="str">
        <f t="array" ref="K146">IFERROR(CONCATENATE(TEXT(INDEX($K$7:$K$78,SMALL(IF($N$7:$N$78&lt;&gt;"",IF($K$7:$K$78&lt;&gt;"",ROW($K$7:$K$78)-MIN(ROW($K$7:$K$78))+1,""),""),ROW()-ROW(A$80)+1)),"##0"),","),"")</f>
        <v/>
      </c>
      <c r="L146" s="1" t="str">
        <f t="array" ref="L146">IFERROR(CONCATENATE((INDEX($N$7:$N$78,SMALL(IF($N$7:$N$78&lt;&gt;"",IF($K$7:$K$78&lt;&gt;"",ROW($K$7:$K$78)-MIN(ROW($K$7:$K$78))+1,""),""),ROW()-ROW(A$80)+1))),","),"")</f>
        <v/>
      </c>
      <c r="M146" s="1" t="str">
        <f t="array" ref="M146">IFERROR(CONCATENATE((INDEX($A$7:$A$78,SMALL(IF($N$7:$N$78&lt;&gt;"",IF($K$7:$K$78&lt;&gt;"",ROW($K$7:$K$78)-MIN(ROW($K$7:$K$78))+1,""),""),ROW()-ROW(A$80)+1))),),"")</f>
        <v/>
      </c>
      <c r="Q146" s="1" t="str">
        <f t="array" ref="Q146">IFERROR(CONCATENATE((INDEX($T$7:$T$78,SMALL(IF($T$7:$T$78&lt;&gt;"",IF($Q$7:$Q$78&lt;&gt;"",ROW($Q$7:$Q$78)-MIN(ROW($Q$7:$Q$78))+1,""),""),ROW()-ROW(A$80)+1)))," "),"")</f>
        <v/>
      </c>
      <c r="R146" s="1" t="str">
        <f t="array" ref="R146">IFERROR(CONCATENATE(TEXT(INDEX($Q$7:$Q$78,SMALL(IF($T$7:$T$78&lt;&gt;"",IF($Q$7:$Q$78&lt;&gt;"",ROW($Q$7:$Q$78)-MIN(ROW($Q$7:$Q$78))+1,""),""),ROW()-ROW(A$80)+1)),"##0")," "),"")</f>
        <v/>
      </c>
      <c r="S146" s="1" t="str">
        <f t="array" ref="S146">IFERROR(CONCATENATE((INDEX($A$7:$A$78,SMALL(IF($T$7:$T$78&lt;&gt;"",IF($Q$7:$Q$78&lt;&gt;"",ROW($Q$7:$Q$78)-MIN(ROW($Q$7:$Q$78))+1,""),""),ROW()-ROW(A$80)+1))),),"")</f>
        <v/>
      </c>
      <c r="W146" s="1" t="str">
        <f t="array" ref="W146">IFERROR(CONCATENATE((INDEX($Z$7:$Z$78,SMALL(IF($Z$7:$Z$78&lt;&gt;"",IF($W$7:$W$78&lt;&gt;"",ROW($W$7:$W$78)-MIN(ROW($W$7:$W$78))+1,""),""),ROW()-ROW(A$80)+1)))," "),"")</f>
        <v/>
      </c>
      <c r="X146" s="1" t="str">
        <f t="array" ref="X146">IFERROR(CONCATENATE(TEXT(INDEX($W$7:$W$78,SMALL(IF($Z$7:$Z$78&lt;&gt;"",IF($W$7:$W$78&lt;&gt;"",ROW($W$7:$W$78)-MIN(ROW($W$7:$W$78))+1,""),""),ROW()-ROW(A$80)+1)),"##0")," "),"")</f>
        <v/>
      </c>
      <c r="Y146" s="1" t="str">
        <f t="array" ref="Y146">IFERROR(CONCATENATE((INDEX($A$7:$A$78,SMALL(IF($Z$7:$Z$78&lt;&gt;"",IF($W$7:$W$78&lt;&gt;"",ROW($W$7:$W$78)-MIN(ROW($W$7:$W$78))+1,""),""),ROW()-ROW(A$80)+1))),),"")</f>
        <v/>
      </c>
      <c r="AC146" s="1" t="str">
        <f t="array" ref="AC146">IFERROR(CONCATENATE((INDEX($AF$7:$AF$78,SMALL(IF($AF$7:$AF$78&lt;&gt;"",IF($AC$7:$AC$78&lt;&gt;"",ROW($AC$7:$AC$78)-MIN(ROW($AC$7:$AC$78))+1,""),""),ROW()-ROW(A$80)+1))),","),"")</f>
        <v/>
      </c>
      <c r="AD146" s="1" t="str">
        <f t="array" ref="AD146">IFERROR(CONCATENATE(TEXT(INDEX($AC$7:$AC$78,SMALL(IF($AF$7:$AF$78&lt;&gt;"",IF($AC$7:$AC$78&lt;&gt;"",ROW($AC$7:$AC$78)-MIN(ROW($AC$7:$AC$78))+1,""),""),ROW()-ROW(A$80)+1)),"##0"),","),"")</f>
        <v/>
      </c>
      <c r="AE146" s="1" t="str">
        <f t="array" ref="AE146">IFERROR(CONCATENATE((INDEX($A$7:$A$78,SMALL(IF($AF$7:$AF$78&lt;&gt;"",IF($AC$7:$AC$78&lt;&gt;"",ROW($AC$7:$AC$78)-MIN(ROW($AC$7:$AC$78))+1,""),""),ROW()-ROW(A$80)+1))),),"")</f>
        <v/>
      </c>
      <c r="AI146" s="1" t="str">
        <f t="array" ref="AI146">IFERROR(CONCATENATE((INDEX($AL$7:$AL$78,SMALL(IF($AL$7:$AL$78&lt;&gt;"",IF($AI$7:$AI$78&lt;&gt;"",ROW($AI$7:$AI$78)-MIN(ROW($AI$7:$AI$78))+1,""),""),ROW()-ROW(A$80)+1)))," "),"")</f>
        <v/>
      </c>
      <c r="AJ146" s="1" t="str">
        <f t="array" ref="AJ146">IFERROR(CONCATENATE(TEXT(INDEX($AI$7:$AI$78,SMALL(IF($AL$7:$AL$78&lt;&gt;"",IF($AI$7:$AI$78&lt;&gt;"",ROW($AI$7:$AI$78)-MIN(ROW($AI$7:$AI$78))+1,""),""),ROW()-ROW(A$80)+1)),"##0")," "),"")</f>
        <v/>
      </c>
      <c r="AK146" s="1" t="str">
        <f t="array" ref="AK146">IFERROR(CONCATENATE((INDEX($A$7:$A$78,SMALL(IF($AL$7:$AL$78&lt;&gt;"",IF($AI$7:$AI$78&lt;&gt;"",ROW($AI$7:$AI$78)-MIN(ROW($AI$7:$AI$78))+1,""),""),ROW()-ROW(A$80)+1))),),"")</f>
        <v/>
      </c>
    </row>
    <row r="147" spans="11:37" x14ac:dyDescent="0.25">
      <c r="K147" s="1" t="str">
        <f t="array" ref="K147">IFERROR(CONCATENATE(TEXT(INDEX($K$7:$K$78,SMALL(IF($N$7:$N$78&lt;&gt;"",IF($K$7:$K$78&lt;&gt;"",ROW($K$7:$K$78)-MIN(ROW($K$7:$K$78))+1,""),""),ROW()-ROW(A$80)+1)),"##0"),","),"")</f>
        <v/>
      </c>
      <c r="L147" s="1" t="str">
        <f t="array" ref="L147">IFERROR(CONCATENATE((INDEX($N$7:$N$78,SMALL(IF($N$7:$N$78&lt;&gt;"",IF($K$7:$K$78&lt;&gt;"",ROW($K$7:$K$78)-MIN(ROW($K$7:$K$78))+1,""),""),ROW()-ROW(A$80)+1))),","),"")</f>
        <v/>
      </c>
      <c r="M147" s="1" t="str">
        <f t="array" ref="M147">IFERROR(CONCATENATE((INDEX($A$7:$A$78,SMALL(IF($N$7:$N$78&lt;&gt;"",IF($K$7:$K$78&lt;&gt;"",ROW($K$7:$K$78)-MIN(ROW($K$7:$K$78))+1,""),""),ROW()-ROW(A$80)+1))),),"")</f>
        <v/>
      </c>
      <c r="Q147" s="1" t="str">
        <f t="array" ref="Q147">IFERROR(CONCATENATE((INDEX($T$7:$T$78,SMALL(IF($T$7:$T$78&lt;&gt;"",IF($Q$7:$Q$78&lt;&gt;"",ROW($Q$7:$Q$78)-MIN(ROW($Q$7:$Q$78))+1,""),""),ROW()-ROW(A$80)+1)))," "),"")</f>
        <v/>
      </c>
      <c r="R147" s="1" t="str">
        <f t="array" ref="R147">IFERROR(CONCATENATE(TEXT(INDEX($Q$7:$Q$78,SMALL(IF($T$7:$T$78&lt;&gt;"",IF($Q$7:$Q$78&lt;&gt;"",ROW($Q$7:$Q$78)-MIN(ROW($Q$7:$Q$78))+1,""),""),ROW()-ROW(A$80)+1)),"##0")," "),"")</f>
        <v/>
      </c>
      <c r="S147" s="1" t="str">
        <f t="array" ref="S147">IFERROR(CONCATENATE((INDEX($A$7:$A$78,SMALL(IF($T$7:$T$78&lt;&gt;"",IF($Q$7:$Q$78&lt;&gt;"",ROW($Q$7:$Q$78)-MIN(ROW($Q$7:$Q$78))+1,""),""),ROW()-ROW(A$80)+1))),),"")</f>
        <v/>
      </c>
      <c r="W147" s="1" t="str">
        <f t="array" ref="W147">IFERROR(CONCATENATE((INDEX($Z$7:$Z$78,SMALL(IF($Z$7:$Z$78&lt;&gt;"",IF($W$7:$W$78&lt;&gt;"",ROW($W$7:$W$78)-MIN(ROW($W$7:$W$78))+1,""),""),ROW()-ROW(A$80)+1)))," "),"")</f>
        <v/>
      </c>
      <c r="X147" s="1" t="str">
        <f t="array" ref="X147">IFERROR(CONCATENATE(TEXT(INDEX($W$7:$W$78,SMALL(IF($Z$7:$Z$78&lt;&gt;"",IF($W$7:$W$78&lt;&gt;"",ROW($W$7:$W$78)-MIN(ROW($W$7:$W$78))+1,""),""),ROW()-ROW(A$80)+1)),"##0")," "),"")</f>
        <v/>
      </c>
      <c r="Y147" s="1" t="str">
        <f t="array" ref="Y147">IFERROR(CONCATENATE((INDEX($A$7:$A$78,SMALL(IF($Z$7:$Z$78&lt;&gt;"",IF($W$7:$W$78&lt;&gt;"",ROW($W$7:$W$78)-MIN(ROW($W$7:$W$78))+1,""),""),ROW()-ROW(A$80)+1))),),"")</f>
        <v/>
      </c>
      <c r="AC147" s="1" t="str">
        <f t="array" ref="AC147">IFERROR(CONCATENATE((INDEX($AF$7:$AF$78,SMALL(IF($AF$7:$AF$78&lt;&gt;"",IF($AC$7:$AC$78&lt;&gt;"",ROW($AC$7:$AC$78)-MIN(ROW($AC$7:$AC$78))+1,""),""),ROW()-ROW(A$80)+1))),","),"")</f>
        <v/>
      </c>
      <c r="AD147" s="1" t="str">
        <f t="array" ref="AD147">IFERROR(CONCATENATE(TEXT(INDEX($AC$7:$AC$78,SMALL(IF($AF$7:$AF$78&lt;&gt;"",IF($AC$7:$AC$78&lt;&gt;"",ROW($AC$7:$AC$78)-MIN(ROW($AC$7:$AC$78))+1,""),""),ROW()-ROW(A$80)+1)),"##0"),","),"")</f>
        <v/>
      </c>
      <c r="AE147" s="1" t="str">
        <f t="array" ref="AE147">IFERROR(CONCATENATE((INDEX($A$7:$A$78,SMALL(IF($AF$7:$AF$78&lt;&gt;"",IF($AC$7:$AC$78&lt;&gt;"",ROW($AC$7:$AC$78)-MIN(ROW($AC$7:$AC$78))+1,""),""),ROW()-ROW(A$80)+1))),),"")</f>
        <v/>
      </c>
      <c r="AI147" s="1" t="str">
        <f t="array" ref="AI147">IFERROR(CONCATENATE((INDEX($AL$7:$AL$78,SMALL(IF($AL$7:$AL$78&lt;&gt;"",IF($AI$7:$AI$78&lt;&gt;"",ROW($AI$7:$AI$78)-MIN(ROW($AI$7:$AI$78))+1,""),""),ROW()-ROW(A$80)+1)))," "),"")</f>
        <v/>
      </c>
      <c r="AJ147" s="1" t="str">
        <f t="array" ref="AJ147">IFERROR(CONCATENATE(TEXT(INDEX($AI$7:$AI$78,SMALL(IF($AL$7:$AL$78&lt;&gt;"",IF($AI$7:$AI$78&lt;&gt;"",ROW($AI$7:$AI$78)-MIN(ROW($AI$7:$AI$78))+1,""),""),ROW()-ROW(A$80)+1)),"##0")," "),"")</f>
        <v/>
      </c>
      <c r="AK147" s="1" t="str">
        <f t="array" ref="AK147">IFERROR(CONCATENATE((INDEX($A$7:$A$78,SMALL(IF($AL$7:$AL$78&lt;&gt;"",IF($AI$7:$AI$78&lt;&gt;"",ROW($AI$7:$AI$78)-MIN(ROW($AI$7:$AI$78))+1,""),""),ROW()-ROW(A$80)+1))),),"")</f>
        <v/>
      </c>
    </row>
    <row r="148" spans="11:37" x14ac:dyDescent="0.25">
      <c r="K148" s="1" t="str">
        <f t="array" ref="K148">IFERROR(CONCATENATE(TEXT(INDEX($K$7:$K$78,SMALL(IF($N$7:$N$78&lt;&gt;"",IF($K$7:$K$78&lt;&gt;"",ROW($K$7:$K$78)-MIN(ROW($K$7:$K$78))+1,""),""),ROW()-ROW(A$80)+1)),"##0"),","),"")</f>
        <v/>
      </c>
      <c r="L148" s="1" t="str">
        <f t="array" ref="L148">IFERROR(CONCATENATE((INDEX($N$7:$N$78,SMALL(IF($N$7:$N$78&lt;&gt;"",IF($K$7:$K$78&lt;&gt;"",ROW($K$7:$K$78)-MIN(ROW($K$7:$K$78))+1,""),""),ROW()-ROW(A$80)+1))),","),"")</f>
        <v/>
      </c>
      <c r="M148" s="1" t="str">
        <f t="array" ref="M148">IFERROR(CONCATENATE((INDEX($A$7:$A$78,SMALL(IF($N$7:$N$78&lt;&gt;"",IF($K$7:$K$78&lt;&gt;"",ROW($K$7:$K$78)-MIN(ROW($K$7:$K$78))+1,""),""),ROW()-ROW(A$80)+1))),),"")</f>
        <v/>
      </c>
      <c r="Q148" s="1" t="str">
        <f t="array" ref="Q148">IFERROR(CONCATENATE((INDEX($T$7:$T$78,SMALL(IF($T$7:$T$78&lt;&gt;"",IF($Q$7:$Q$78&lt;&gt;"",ROW($Q$7:$Q$78)-MIN(ROW($Q$7:$Q$78))+1,""),""),ROW()-ROW(A$80)+1)))," "),"")</f>
        <v/>
      </c>
      <c r="R148" s="1" t="str">
        <f t="array" ref="R148">IFERROR(CONCATENATE(TEXT(INDEX($Q$7:$Q$78,SMALL(IF($T$7:$T$78&lt;&gt;"",IF($Q$7:$Q$78&lt;&gt;"",ROW($Q$7:$Q$78)-MIN(ROW($Q$7:$Q$78))+1,""),""),ROW()-ROW(A$80)+1)),"##0")," "),"")</f>
        <v/>
      </c>
      <c r="S148" s="1" t="str">
        <f t="array" ref="S148">IFERROR(CONCATENATE((INDEX($A$7:$A$78,SMALL(IF($T$7:$T$78&lt;&gt;"",IF($Q$7:$Q$78&lt;&gt;"",ROW($Q$7:$Q$78)-MIN(ROW($Q$7:$Q$78))+1,""),""),ROW()-ROW(A$80)+1))),),"")</f>
        <v/>
      </c>
      <c r="W148" s="1" t="str">
        <f t="array" ref="W148">IFERROR(CONCATENATE((INDEX($Z$7:$Z$78,SMALL(IF($Z$7:$Z$78&lt;&gt;"",IF($W$7:$W$78&lt;&gt;"",ROW($W$7:$W$78)-MIN(ROW($W$7:$W$78))+1,""),""),ROW()-ROW(A$80)+1)))," "),"")</f>
        <v/>
      </c>
      <c r="X148" s="1" t="str">
        <f t="array" ref="X148">IFERROR(CONCATENATE(TEXT(INDEX($W$7:$W$78,SMALL(IF($Z$7:$Z$78&lt;&gt;"",IF($W$7:$W$78&lt;&gt;"",ROW($W$7:$W$78)-MIN(ROW($W$7:$W$78))+1,""),""),ROW()-ROW(A$80)+1)),"##0")," "),"")</f>
        <v/>
      </c>
      <c r="Y148" s="1" t="str">
        <f t="array" ref="Y148">IFERROR(CONCATENATE((INDEX($A$7:$A$78,SMALL(IF($Z$7:$Z$78&lt;&gt;"",IF($W$7:$W$78&lt;&gt;"",ROW($W$7:$W$78)-MIN(ROW($W$7:$W$78))+1,""),""),ROW()-ROW(A$80)+1))),),"")</f>
        <v/>
      </c>
      <c r="AC148" s="1" t="str">
        <f t="array" ref="AC148">IFERROR(CONCATENATE((INDEX($AF$7:$AF$78,SMALL(IF($AF$7:$AF$78&lt;&gt;"",IF($AC$7:$AC$78&lt;&gt;"",ROW($AC$7:$AC$78)-MIN(ROW($AC$7:$AC$78))+1,""),""),ROW()-ROW(A$80)+1))),","),"")</f>
        <v/>
      </c>
      <c r="AD148" s="1" t="str">
        <f t="array" ref="AD148">IFERROR(CONCATENATE(TEXT(INDEX($AC$7:$AC$78,SMALL(IF($AF$7:$AF$78&lt;&gt;"",IF($AC$7:$AC$78&lt;&gt;"",ROW($AC$7:$AC$78)-MIN(ROW($AC$7:$AC$78))+1,""),""),ROW()-ROW(A$80)+1)),"##0"),","),"")</f>
        <v/>
      </c>
      <c r="AE148" s="1" t="str">
        <f t="array" ref="AE148">IFERROR(CONCATENATE((INDEX($A$7:$A$78,SMALL(IF($AF$7:$AF$78&lt;&gt;"",IF($AC$7:$AC$78&lt;&gt;"",ROW($AC$7:$AC$78)-MIN(ROW($AC$7:$AC$78))+1,""),""),ROW()-ROW(A$80)+1))),),"")</f>
        <v/>
      </c>
      <c r="AI148" s="1" t="str">
        <f t="array" ref="AI148">IFERROR(CONCATENATE((INDEX($AL$7:$AL$78,SMALL(IF($AL$7:$AL$78&lt;&gt;"",IF($AI$7:$AI$78&lt;&gt;"",ROW($AI$7:$AI$78)-MIN(ROW($AI$7:$AI$78))+1,""),""),ROW()-ROW(A$80)+1)))," "),"")</f>
        <v/>
      </c>
      <c r="AJ148" s="1" t="str">
        <f t="array" ref="AJ148">IFERROR(CONCATENATE(TEXT(INDEX($AI$7:$AI$78,SMALL(IF($AL$7:$AL$78&lt;&gt;"",IF($AI$7:$AI$78&lt;&gt;"",ROW($AI$7:$AI$78)-MIN(ROW($AI$7:$AI$78))+1,""),""),ROW()-ROW(A$80)+1)),"##0")," "),"")</f>
        <v/>
      </c>
      <c r="AK148" s="1" t="str">
        <f t="array" ref="AK148">IFERROR(CONCATENATE((INDEX($A$7:$A$78,SMALL(IF($AL$7:$AL$78&lt;&gt;"",IF($AI$7:$AI$78&lt;&gt;"",ROW($AI$7:$AI$78)-MIN(ROW($AI$7:$AI$78))+1,""),""),ROW()-ROW(A$80)+1))),),"")</f>
        <v/>
      </c>
    </row>
    <row r="149" spans="11:37" x14ac:dyDescent="0.25">
      <c r="K149" s="1" t="str">
        <f t="array" ref="K149">IFERROR(CONCATENATE(TEXT(INDEX($K$7:$K$78,SMALL(IF($N$7:$N$78&lt;&gt;"",IF($K$7:$K$78&lt;&gt;"",ROW($K$7:$K$78)-MIN(ROW($K$7:$K$78))+1,""),""),ROW()-ROW(A$80)+1)),"##0"),","),"")</f>
        <v/>
      </c>
      <c r="L149" s="1" t="str">
        <f t="array" ref="L149">IFERROR(CONCATENATE((INDEX($N$7:$N$78,SMALL(IF($N$7:$N$78&lt;&gt;"",IF($K$7:$K$78&lt;&gt;"",ROW($K$7:$K$78)-MIN(ROW($K$7:$K$78))+1,""),""),ROW()-ROW(A$80)+1))),","),"")</f>
        <v/>
      </c>
      <c r="M149" s="1" t="str">
        <f t="array" ref="M149">IFERROR(CONCATENATE((INDEX($A$7:$A$78,SMALL(IF($N$7:$N$78&lt;&gt;"",IF($K$7:$K$78&lt;&gt;"",ROW($K$7:$K$78)-MIN(ROW($K$7:$K$78))+1,""),""),ROW()-ROW(A$80)+1))),),"")</f>
        <v/>
      </c>
      <c r="Q149" s="1" t="str">
        <f t="array" ref="Q149">IFERROR(CONCATENATE((INDEX($T$7:$T$78,SMALL(IF($T$7:$T$78&lt;&gt;"",IF($Q$7:$Q$78&lt;&gt;"",ROW($Q$7:$Q$78)-MIN(ROW($Q$7:$Q$78))+1,""),""),ROW()-ROW(A$80)+1)))," "),"")</f>
        <v/>
      </c>
      <c r="R149" s="1" t="str">
        <f t="array" ref="R149">IFERROR(CONCATENATE(TEXT(INDEX($Q$7:$Q$78,SMALL(IF($T$7:$T$78&lt;&gt;"",IF($Q$7:$Q$78&lt;&gt;"",ROW($Q$7:$Q$78)-MIN(ROW($Q$7:$Q$78))+1,""),""),ROW()-ROW(A$80)+1)),"##0")," "),"")</f>
        <v/>
      </c>
      <c r="S149" s="1" t="str">
        <f t="array" ref="S149">IFERROR(CONCATENATE((INDEX($A$7:$A$78,SMALL(IF($T$7:$T$78&lt;&gt;"",IF($Q$7:$Q$78&lt;&gt;"",ROW($Q$7:$Q$78)-MIN(ROW($Q$7:$Q$78))+1,""),""),ROW()-ROW(A$80)+1))),),"")</f>
        <v/>
      </c>
      <c r="W149" s="1" t="str">
        <f t="array" ref="W149">IFERROR(CONCATENATE((INDEX($Z$7:$Z$78,SMALL(IF($Z$7:$Z$78&lt;&gt;"",IF($W$7:$W$78&lt;&gt;"",ROW($W$7:$W$78)-MIN(ROW($W$7:$W$78))+1,""),""),ROW()-ROW(A$80)+1)))," "),"")</f>
        <v/>
      </c>
      <c r="X149" s="1" t="str">
        <f t="array" ref="X149">IFERROR(CONCATENATE(TEXT(INDEX($W$7:$W$78,SMALL(IF($Z$7:$Z$78&lt;&gt;"",IF($W$7:$W$78&lt;&gt;"",ROW($W$7:$W$78)-MIN(ROW($W$7:$W$78))+1,""),""),ROW()-ROW(A$80)+1)),"##0")," "),"")</f>
        <v/>
      </c>
      <c r="Y149" s="1" t="str">
        <f t="array" ref="Y149">IFERROR(CONCATENATE((INDEX($A$7:$A$78,SMALL(IF($Z$7:$Z$78&lt;&gt;"",IF($W$7:$W$78&lt;&gt;"",ROW($W$7:$W$78)-MIN(ROW($W$7:$W$78))+1,""),""),ROW()-ROW(A$80)+1))),),"")</f>
        <v/>
      </c>
      <c r="AC149" s="1" t="str">
        <f t="array" ref="AC149">IFERROR(CONCATENATE((INDEX($AF$7:$AF$78,SMALL(IF($AF$7:$AF$78&lt;&gt;"",IF($AC$7:$AC$78&lt;&gt;"",ROW($AC$7:$AC$78)-MIN(ROW($AC$7:$AC$78))+1,""),""),ROW()-ROW(A$80)+1))),","),"")</f>
        <v/>
      </c>
      <c r="AD149" s="1" t="str">
        <f t="array" ref="AD149">IFERROR(CONCATENATE(TEXT(INDEX($AC$7:$AC$78,SMALL(IF($AF$7:$AF$78&lt;&gt;"",IF($AC$7:$AC$78&lt;&gt;"",ROW($AC$7:$AC$78)-MIN(ROW($AC$7:$AC$78))+1,""),""),ROW()-ROW(A$80)+1)),"##0"),","),"")</f>
        <v/>
      </c>
      <c r="AE149" s="1" t="str">
        <f t="array" ref="AE149">IFERROR(CONCATENATE((INDEX($A$7:$A$78,SMALL(IF($AF$7:$AF$78&lt;&gt;"",IF($AC$7:$AC$78&lt;&gt;"",ROW($AC$7:$AC$78)-MIN(ROW($AC$7:$AC$78))+1,""),""),ROW()-ROW(A$80)+1))),),"")</f>
        <v/>
      </c>
      <c r="AI149" s="1" t="str">
        <f t="array" ref="AI149">IFERROR(CONCATENATE((INDEX($AL$7:$AL$78,SMALL(IF($AL$7:$AL$78&lt;&gt;"",IF($AI$7:$AI$78&lt;&gt;"",ROW($AI$7:$AI$78)-MIN(ROW($AI$7:$AI$78))+1,""),""),ROW()-ROW(A$80)+1)))," "),"")</f>
        <v/>
      </c>
      <c r="AJ149" s="1" t="str">
        <f t="array" ref="AJ149">IFERROR(CONCATENATE(TEXT(INDEX($AI$7:$AI$78,SMALL(IF($AL$7:$AL$78&lt;&gt;"",IF($AI$7:$AI$78&lt;&gt;"",ROW($AI$7:$AI$78)-MIN(ROW($AI$7:$AI$78))+1,""),""),ROW()-ROW(A$80)+1)),"##0")," "),"")</f>
        <v/>
      </c>
      <c r="AK149" s="1" t="str">
        <f t="array" ref="AK149">IFERROR(CONCATENATE((INDEX($A$7:$A$78,SMALL(IF($AL$7:$AL$78&lt;&gt;"",IF($AI$7:$AI$78&lt;&gt;"",ROW($AI$7:$AI$78)-MIN(ROW($AI$7:$AI$78))+1,""),""),ROW()-ROW(A$80)+1))),),"")</f>
        <v/>
      </c>
    </row>
    <row r="150" spans="11:37" x14ac:dyDescent="0.25">
      <c r="K150" s="1" t="str">
        <f t="array" ref="K150">IFERROR(CONCATENATE(TEXT(INDEX($K$7:$K$78,SMALL(IF($N$7:$N$78&lt;&gt;"",IF($K$7:$K$78&lt;&gt;"",ROW($K$7:$K$78)-MIN(ROW($K$7:$K$78))+1,""),""),ROW()-ROW(A$80)+1)),"##0"),","),"")</f>
        <v/>
      </c>
      <c r="L150" s="1" t="str">
        <f t="array" ref="L150">IFERROR(CONCATENATE((INDEX($N$7:$N$78,SMALL(IF($N$7:$N$78&lt;&gt;"",IF($K$7:$K$78&lt;&gt;"",ROW($K$7:$K$78)-MIN(ROW($K$7:$K$78))+1,""),""),ROW()-ROW(A$80)+1))),","),"")</f>
        <v/>
      </c>
      <c r="M150" s="1" t="str">
        <f t="array" ref="M150">IFERROR(CONCATENATE((INDEX($A$7:$A$78,SMALL(IF($N$7:$N$78&lt;&gt;"",IF($K$7:$K$78&lt;&gt;"",ROW($K$7:$K$78)-MIN(ROW($K$7:$K$78))+1,""),""),ROW()-ROW(A$80)+1))),),"")</f>
        <v/>
      </c>
      <c r="Q150" s="1" t="str">
        <f t="array" ref="Q150">IFERROR(CONCATENATE((INDEX($T$7:$T$78,SMALL(IF($T$7:$T$78&lt;&gt;"",IF($Q$7:$Q$78&lt;&gt;"",ROW($Q$7:$Q$78)-MIN(ROW($Q$7:$Q$78))+1,""),""),ROW()-ROW(A$80)+1)))," "),"")</f>
        <v/>
      </c>
      <c r="R150" s="1" t="str">
        <f t="array" ref="R150">IFERROR(CONCATENATE(TEXT(INDEX($Q$7:$Q$78,SMALL(IF($T$7:$T$78&lt;&gt;"",IF($Q$7:$Q$78&lt;&gt;"",ROW($Q$7:$Q$78)-MIN(ROW($Q$7:$Q$78))+1,""),""),ROW()-ROW(A$80)+1)),"##0")," "),"")</f>
        <v/>
      </c>
      <c r="S150" s="1" t="str">
        <f t="array" ref="S150">IFERROR(CONCATENATE((INDEX($A$7:$A$78,SMALL(IF($T$7:$T$78&lt;&gt;"",IF($Q$7:$Q$78&lt;&gt;"",ROW($Q$7:$Q$78)-MIN(ROW($Q$7:$Q$78))+1,""),""),ROW()-ROW(A$80)+1))),),"")</f>
        <v/>
      </c>
      <c r="W150" s="1" t="str">
        <f t="array" ref="W150">IFERROR(CONCATENATE((INDEX($Z$7:$Z$78,SMALL(IF($Z$7:$Z$78&lt;&gt;"",IF($W$7:$W$78&lt;&gt;"",ROW($W$7:$W$78)-MIN(ROW($W$7:$W$78))+1,""),""),ROW()-ROW(A$80)+1)))," "),"")</f>
        <v/>
      </c>
      <c r="X150" s="1" t="str">
        <f t="array" ref="X150">IFERROR(CONCATENATE(TEXT(INDEX($W$7:$W$78,SMALL(IF($Z$7:$Z$78&lt;&gt;"",IF($W$7:$W$78&lt;&gt;"",ROW($W$7:$W$78)-MIN(ROW($W$7:$W$78))+1,""),""),ROW()-ROW(A$80)+1)),"##0")," "),"")</f>
        <v/>
      </c>
      <c r="Y150" s="1" t="str">
        <f t="array" ref="Y150">IFERROR(CONCATENATE((INDEX($A$7:$A$78,SMALL(IF($Z$7:$Z$78&lt;&gt;"",IF($W$7:$W$78&lt;&gt;"",ROW($W$7:$W$78)-MIN(ROW($W$7:$W$78))+1,""),""),ROW()-ROW(A$80)+1))),),"")</f>
        <v/>
      </c>
      <c r="AC150" s="1" t="str">
        <f t="array" ref="AC150">IFERROR(CONCATENATE((INDEX($AF$7:$AF$78,SMALL(IF($AF$7:$AF$78&lt;&gt;"",IF($AC$7:$AC$78&lt;&gt;"",ROW($AC$7:$AC$78)-MIN(ROW($AC$7:$AC$78))+1,""),""),ROW()-ROW(A$80)+1))),","),"")</f>
        <v/>
      </c>
      <c r="AD150" s="1" t="str">
        <f t="array" ref="AD150">IFERROR(CONCATENATE(TEXT(INDEX($AC$7:$AC$78,SMALL(IF($AF$7:$AF$78&lt;&gt;"",IF($AC$7:$AC$78&lt;&gt;"",ROW($AC$7:$AC$78)-MIN(ROW($AC$7:$AC$78))+1,""),""),ROW()-ROW(A$80)+1)),"##0"),","),"")</f>
        <v/>
      </c>
      <c r="AE150" s="1" t="str">
        <f t="array" ref="AE150">IFERROR(CONCATENATE((INDEX($A$7:$A$78,SMALL(IF($AF$7:$AF$78&lt;&gt;"",IF($AC$7:$AC$78&lt;&gt;"",ROW($AC$7:$AC$78)-MIN(ROW($AC$7:$AC$78))+1,""),""),ROW()-ROW(A$80)+1))),),"")</f>
        <v/>
      </c>
      <c r="AI150" s="1" t="str">
        <f t="array" ref="AI150">IFERROR(CONCATENATE((INDEX($AL$7:$AL$78,SMALL(IF($AL$7:$AL$78&lt;&gt;"",IF($AI$7:$AI$78&lt;&gt;"",ROW($AI$7:$AI$78)-MIN(ROW($AI$7:$AI$78))+1,""),""),ROW()-ROW(A$80)+1)))," "),"")</f>
        <v/>
      </c>
      <c r="AJ150" s="1" t="str">
        <f t="array" ref="AJ150">IFERROR(CONCATENATE(TEXT(INDEX($AI$7:$AI$78,SMALL(IF($AL$7:$AL$78&lt;&gt;"",IF($AI$7:$AI$78&lt;&gt;"",ROW($AI$7:$AI$78)-MIN(ROW($AI$7:$AI$78))+1,""),""),ROW()-ROW(A$80)+1)),"##0")," "),"")</f>
        <v/>
      </c>
      <c r="AK150" s="1" t="str">
        <f t="array" ref="AK150">IFERROR(CONCATENATE((INDEX($A$7:$A$78,SMALL(IF($AL$7:$AL$78&lt;&gt;"",IF($AI$7:$AI$78&lt;&gt;"",ROW($AI$7:$AI$78)-MIN(ROW($AI$7:$AI$78))+1,""),""),ROW()-ROW(A$80)+1))),),"")</f>
        <v/>
      </c>
    </row>
    <row r="151" spans="11:37" x14ac:dyDescent="0.25">
      <c r="K151" s="1" t="str">
        <f t="array" ref="K151">IFERROR(CONCATENATE(TEXT(INDEX($K$7:$K$78,SMALL(IF($N$7:$N$78&lt;&gt;"",IF($K$7:$K$78&lt;&gt;"",ROW($K$7:$K$78)-MIN(ROW($K$7:$K$78))+1,""),""),ROW()-ROW(A$80)+1)),"##0"),","),"")</f>
        <v/>
      </c>
      <c r="L151" s="1" t="str">
        <f t="array" ref="L151">IFERROR(CONCATENATE((INDEX($N$7:$N$78,SMALL(IF($N$7:$N$78&lt;&gt;"",IF($K$7:$K$78&lt;&gt;"",ROW($K$7:$K$78)-MIN(ROW($K$7:$K$78))+1,""),""),ROW()-ROW(A$80)+1))),","),"")</f>
        <v/>
      </c>
      <c r="M151" s="1" t="str">
        <f t="array" ref="M151">IFERROR(CONCATENATE((INDEX($A$7:$A$78,SMALL(IF($N$7:$N$78&lt;&gt;"",IF($K$7:$K$78&lt;&gt;"",ROW($K$7:$K$78)-MIN(ROW($K$7:$K$78))+1,""),""),ROW()-ROW(A$80)+1))),),"")</f>
        <v/>
      </c>
      <c r="Q151" s="1" t="str">
        <f t="array" ref="Q151">IFERROR(CONCATENATE((INDEX($T$7:$T$78,SMALL(IF($T$7:$T$78&lt;&gt;"",IF($Q$7:$Q$78&lt;&gt;"",ROW($Q$7:$Q$78)-MIN(ROW($Q$7:$Q$78))+1,""),""),ROW()-ROW(A$80)+1)))," "),"")</f>
        <v/>
      </c>
      <c r="R151" s="1" t="str">
        <f t="array" ref="R151">IFERROR(CONCATENATE(TEXT(INDEX($Q$7:$Q$78,SMALL(IF($T$7:$T$78&lt;&gt;"",IF($Q$7:$Q$78&lt;&gt;"",ROW($Q$7:$Q$78)-MIN(ROW($Q$7:$Q$78))+1,""),""),ROW()-ROW(A$80)+1)),"##0")," "),"")</f>
        <v/>
      </c>
      <c r="S151" s="1" t="str">
        <f t="array" ref="S151">IFERROR(CONCATENATE((INDEX($A$7:$A$78,SMALL(IF($T$7:$T$78&lt;&gt;"",IF($Q$7:$Q$78&lt;&gt;"",ROW($Q$7:$Q$78)-MIN(ROW($Q$7:$Q$78))+1,""),""),ROW()-ROW(A$80)+1))),),"")</f>
        <v/>
      </c>
      <c r="W151" s="1" t="str">
        <f t="array" ref="W151">IFERROR(CONCATENATE((INDEX($Z$7:$Z$78,SMALL(IF($Z$7:$Z$78&lt;&gt;"",IF($W$7:$W$78&lt;&gt;"",ROW($W$7:$W$78)-MIN(ROW($W$7:$W$78))+1,""),""),ROW()-ROW(A$80)+1)))," "),"")</f>
        <v/>
      </c>
      <c r="X151" s="1" t="str">
        <f t="array" ref="X151">IFERROR(CONCATENATE(TEXT(INDEX($W$7:$W$78,SMALL(IF($Z$7:$Z$78&lt;&gt;"",IF($W$7:$W$78&lt;&gt;"",ROW($W$7:$W$78)-MIN(ROW($W$7:$W$78))+1,""),""),ROW()-ROW(A$80)+1)),"##0")," "),"")</f>
        <v/>
      </c>
      <c r="Y151" s="1" t="str">
        <f t="array" ref="Y151">IFERROR(CONCATENATE((INDEX($A$7:$A$78,SMALL(IF($Z$7:$Z$78&lt;&gt;"",IF($W$7:$W$78&lt;&gt;"",ROW($W$7:$W$78)-MIN(ROW($W$7:$W$78))+1,""),""),ROW()-ROW(A$80)+1))),),"")</f>
        <v/>
      </c>
      <c r="AC151" s="1" t="str">
        <f t="array" ref="AC151">IFERROR(CONCATENATE((INDEX($AF$7:$AF$78,SMALL(IF($AF$7:$AF$78&lt;&gt;"",IF($AC$7:$AC$78&lt;&gt;"",ROW($AC$7:$AC$78)-MIN(ROW($AC$7:$AC$78))+1,""),""),ROW()-ROW(A$80)+1))),","),"")</f>
        <v/>
      </c>
      <c r="AD151" s="1" t="str">
        <f t="array" ref="AD151">IFERROR(CONCATENATE(TEXT(INDEX($AC$7:$AC$78,SMALL(IF($AF$7:$AF$78&lt;&gt;"",IF($AC$7:$AC$78&lt;&gt;"",ROW($AC$7:$AC$78)-MIN(ROW($AC$7:$AC$78))+1,""),""),ROW()-ROW(A$80)+1)),"##0"),","),"")</f>
        <v/>
      </c>
      <c r="AE151" s="1" t="str">
        <f t="array" ref="AE151">IFERROR(CONCATENATE((INDEX($A$7:$A$78,SMALL(IF($AF$7:$AF$78&lt;&gt;"",IF($AC$7:$AC$78&lt;&gt;"",ROW($AC$7:$AC$78)-MIN(ROW($AC$7:$AC$78))+1,""),""),ROW()-ROW(A$80)+1))),),"")</f>
        <v/>
      </c>
      <c r="AI151" s="1" t="str">
        <f t="array" ref="AI151">IFERROR(CONCATENATE((INDEX($AL$7:$AL$78,SMALL(IF($AL$7:$AL$78&lt;&gt;"",IF($AI$7:$AI$78&lt;&gt;"",ROW($AI$7:$AI$78)-MIN(ROW($AI$7:$AI$78))+1,""),""),ROW()-ROW(A$80)+1)))," "),"")</f>
        <v/>
      </c>
      <c r="AJ151" s="1" t="str">
        <f t="array" ref="AJ151">IFERROR(CONCATENATE(TEXT(INDEX($AI$7:$AI$78,SMALL(IF($AL$7:$AL$78&lt;&gt;"",IF($AI$7:$AI$78&lt;&gt;"",ROW($AI$7:$AI$78)-MIN(ROW($AI$7:$AI$78))+1,""),""),ROW()-ROW(A$80)+1)),"##0")," "),"")</f>
        <v/>
      </c>
      <c r="AK151" s="1" t="str">
        <f t="array" ref="AK151">IFERROR(CONCATENATE((INDEX($A$7:$A$78,SMALL(IF($AL$7:$AL$78&lt;&gt;"",IF($AI$7:$AI$78&lt;&gt;"",ROW($AI$7:$AI$78)-MIN(ROW($AI$7:$AI$78))+1,""),""),ROW()-ROW(A$80)+1))),),"")</f>
        <v/>
      </c>
    </row>
  </sheetData>
  <mergeCells count="7">
    <mergeCell ref="AH5:AM5"/>
    <mergeCell ref="AN5:AS5"/>
    <mergeCell ref="A5:I5"/>
    <mergeCell ref="J5:O5"/>
    <mergeCell ref="P5:U5"/>
    <mergeCell ref="V5:AA5"/>
    <mergeCell ref="AB5:AG5"/>
  </mergeCells>
  <conditionalFormatting sqref="AD12">
    <cfRule type="cellIs" dxfId="461" priority="371" operator="lessThanOrEqual">
      <formula>H12</formula>
    </cfRule>
  </conditionalFormatting>
  <conditionalFormatting sqref="AD13">
    <cfRule type="cellIs" dxfId="460" priority="373" operator="lessThanOrEqual">
      <formula>H13</formula>
    </cfRule>
  </conditionalFormatting>
  <conditionalFormatting sqref="AD14">
    <cfRule type="cellIs" dxfId="459" priority="375" operator="lessThanOrEqual">
      <formula>H14</formula>
    </cfRule>
  </conditionalFormatting>
  <conditionalFormatting sqref="AD15">
    <cfRule type="cellIs" dxfId="458" priority="377" operator="lessThanOrEqual">
      <formula>H15</formula>
    </cfRule>
  </conditionalFormatting>
  <conditionalFormatting sqref="AD16">
    <cfRule type="cellIs" dxfId="457" priority="379" operator="lessThanOrEqual">
      <formula>H16</formula>
    </cfRule>
  </conditionalFormatting>
  <conditionalFormatting sqref="AD17">
    <cfRule type="cellIs" dxfId="456" priority="381" operator="lessThanOrEqual">
      <formula>H17</formula>
    </cfRule>
  </conditionalFormatting>
  <conditionalFormatting sqref="AD18">
    <cfRule type="cellIs" dxfId="455" priority="383" operator="lessThanOrEqual">
      <formula>H18</formula>
    </cfRule>
  </conditionalFormatting>
  <conditionalFormatting sqref="AD19">
    <cfRule type="cellIs" dxfId="454" priority="385" operator="lessThanOrEqual">
      <formula>H19</formula>
    </cfRule>
  </conditionalFormatting>
  <conditionalFormatting sqref="AD21">
    <cfRule type="cellIs" dxfId="453" priority="387" operator="lessThanOrEqual">
      <formula>H21</formula>
    </cfRule>
  </conditionalFormatting>
  <conditionalFormatting sqref="AD22">
    <cfRule type="cellIs" dxfId="452" priority="389" operator="lessThanOrEqual">
      <formula>H22</formula>
    </cfRule>
  </conditionalFormatting>
  <conditionalFormatting sqref="AD25">
    <cfRule type="cellIs" dxfId="451" priority="391" operator="lessThanOrEqual">
      <formula>H25</formula>
    </cfRule>
  </conditionalFormatting>
  <conditionalFormatting sqref="AD26">
    <cfRule type="cellIs" dxfId="450" priority="393" operator="lessThanOrEqual">
      <formula>H26</formula>
    </cfRule>
  </conditionalFormatting>
  <conditionalFormatting sqref="AD27">
    <cfRule type="cellIs" dxfId="449" priority="395" operator="lessThanOrEqual">
      <formula>H27</formula>
    </cfRule>
  </conditionalFormatting>
  <conditionalFormatting sqref="AD28">
    <cfRule type="cellIs" dxfId="448" priority="397" operator="lessThanOrEqual">
      <formula>H28</formula>
    </cfRule>
  </conditionalFormatting>
  <conditionalFormatting sqref="AD29">
    <cfRule type="cellIs" dxfId="447" priority="399" operator="lessThanOrEqual">
      <formula>H29</formula>
    </cfRule>
  </conditionalFormatting>
  <conditionalFormatting sqref="AD30">
    <cfRule type="cellIs" dxfId="446" priority="401" operator="lessThanOrEqual">
      <formula>H30</formula>
    </cfRule>
  </conditionalFormatting>
  <conditionalFormatting sqref="AD32">
    <cfRule type="cellIs" dxfId="445" priority="403" operator="lessThanOrEqual">
      <formula>H32</formula>
    </cfRule>
  </conditionalFormatting>
  <conditionalFormatting sqref="AD33">
    <cfRule type="cellIs" dxfId="444" priority="405" operator="lessThanOrEqual">
      <formula>H33</formula>
    </cfRule>
  </conditionalFormatting>
  <conditionalFormatting sqref="AD34">
    <cfRule type="cellIs" dxfId="443" priority="407" operator="lessThanOrEqual">
      <formula>H34</formula>
    </cfRule>
  </conditionalFormatting>
  <conditionalFormatting sqref="AD36">
    <cfRule type="cellIs" dxfId="442" priority="409" operator="lessThanOrEqual">
      <formula>H36</formula>
    </cfRule>
  </conditionalFormatting>
  <conditionalFormatting sqref="AD38">
    <cfRule type="cellIs" dxfId="441" priority="411" operator="lessThanOrEqual">
      <formula>H38</formula>
    </cfRule>
  </conditionalFormatting>
  <conditionalFormatting sqref="AD40">
    <cfRule type="cellIs" dxfId="440" priority="413" operator="lessThanOrEqual">
      <formula>H40</formula>
    </cfRule>
  </conditionalFormatting>
  <conditionalFormatting sqref="AD41">
    <cfRule type="cellIs" dxfId="439" priority="415" operator="lessThanOrEqual">
      <formula>H41</formula>
    </cfRule>
  </conditionalFormatting>
  <conditionalFormatting sqref="AD43">
    <cfRule type="cellIs" dxfId="438" priority="417" operator="lessThanOrEqual">
      <formula>H43</formula>
    </cfRule>
  </conditionalFormatting>
  <conditionalFormatting sqref="AD45">
    <cfRule type="cellIs" dxfId="437" priority="419" operator="lessThanOrEqual">
      <formula>H45</formula>
    </cfRule>
  </conditionalFormatting>
  <conditionalFormatting sqref="AD46">
    <cfRule type="cellIs" dxfId="436" priority="421" operator="lessThanOrEqual">
      <formula>H46</formula>
    </cfRule>
  </conditionalFormatting>
  <conditionalFormatting sqref="AD48">
    <cfRule type="cellIs" dxfId="435" priority="423" operator="lessThanOrEqual">
      <formula>H48</formula>
    </cfRule>
  </conditionalFormatting>
  <conditionalFormatting sqref="AD49">
    <cfRule type="cellIs" dxfId="434" priority="425" operator="lessThanOrEqual">
      <formula>H49</formula>
    </cfRule>
  </conditionalFormatting>
  <conditionalFormatting sqref="AD50">
    <cfRule type="cellIs" dxfId="433" priority="427" operator="lessThanOrEqual">
      <formula>H50</formula>
    </cfRule>
  </conditionalFormatting>
  <conditionalFormatting sqref="AD52">
    <cfRule type="cellIs" dxfId="432" priority="429" operator="lessThanOrEqual">
      <formula>H52</formula>
    </cfRule>
  </conditionalFormatting>
  <conditionalFormatting sqref="AD53">
    <cfRule type="cellIs" dxfId="431" priority="431" operator="lessThanOrEqual">
      <formula>H53</formula>
    </cfRule>
  </conditionalFormatting>
  <conditionalFormatting sqref="AD58">
    <cfRule type="cellIs" dxfId="430" priority="433" operator="lessThanOrEqual">
      <formula>H58</formula>
    </cfRule>
  </conditionalFormatting>
  <conditionalFormatting sqref="AD60">
    <cfRule type="cellIs" dxfId="429" priority="435" operator="lessThanOrEqual">
      <formula>H60</formula>
    </cfRule>
  </conditionalFormatting>
  <conditionalFormatting sqref="AD62">
    <cfRule type="cellIs" dxfId="428" priority="437" operator="lessThanOrEqual">
      <formula>H62</formula>
    </cfRule>
  </conditionalFormatting>
  <conditionalFormatting sqref="AD63">
    <cfRule type="cellIs" dxfId="427" priority="439" operator="lessThanOrEqual">
      <formula>H63</formula>
    </cfRule>
  </conditionalFormatting>
  <conditionalFormatting sqref="AD66">
    <cfRule type="cellIs" dxfId="426" priority="441" operator="lessThanOrEqual">
      <formula>H66</formula>
    </cfRule>
  </conditionalFormatting>
  <conditionalFormatting sqref="AD67">
    <cfRule type="cellIs" dxfId="425" priority="443" operator="lessThanOrEqual">
      <formula>H67</formula>
    </cfRule>
  </conditionalFormatting>
  <conditionalFormatting sqref="AD68">
    <cfRule type="cellIs" dxfId="424" priority="445" operator="lessThanOrEqual">
      <formula>H68</formula>
    </cfRule>
  </conditionalFormatting>
  <conditionalFormatting sqref="AD7">
    <cfRule type="cellIs" dxfId="423" priority="367" operator="lessThanOrEqual">
      <formula>H7</formula>
    </cfRule>
  </conditionalFormatting>
  <conditionalFormatting sqref="AD70">
    <cfRule type="cellIs" dxfId="422" priority="447" operator="lessThanOrEqual">
      <formula>H70</formula>
    </cfRule>
  </conditionalFormatting>
  <conditionalFormatting sqref="AD71">
    <cfRule type="cellIs" dxfId="421" priority="449" operator="lessThanOrEqual">
      <formula>H71</formula>
    </cfRule>
  </conditionalFormatting>
  <conditionalFormatting sqref="AD72">
    <cfRule type="cellIs" dxfId="420" priority="451" operator="lessThanOrEqual">
      <formula>H72</formula>
    </cfRule>
  </conditionalFormatting>
  <conditionalFormatting sqref="AD73">
    <cfRule type="cellIs" dxfId="419" priority="453" operator="lessThanOrEqual">
      <formula>H73</formula>
    </cfRule>
  </conditionalFormatting>
  <conditionalFormatting sqref="AD74">
    <cfRule type="cellIs" dxfId="418" priority="455" operator="lessThanOrEqual">
      <formula>H74</formula>
    </cfRule>
  </conditionalFormatting>
  <conditionalFormatting sqref="AD76">
    <cfRule type="cellIs" dxfId="417" priority="457" operator="lessThanOrEqual">
      <formula>H76</formula>
    </cfRule>
  </conditionalFormatting>
  <conditionalFormatting sqref="AD78">
    <cfRule type="cellIs" dxfId="416" priority="459" operator="lessThanOrEqual">
      <formula>H78</formula>
    </cfRule>
  </conditionalFormatting>
  <conditionalFormatting sqref="AD9">
    <cfRule type="cellIs" dxfId="415" priority="369" operator="lessThanOrEqual">
      <formula>H9</formula>
    </cfRule>
  </conditionalFormatting>
  <conditionalFormatting sqref="AE12">
    <cfRule type="cellIs" dxfId="414" priority="372" operator="lessThanOrEqual">
      <formula>I12</formula>
    </cfRule>
  </conditionalFormatting>
  <conditionalFormatting sqref="AE13">
    <cfRule type="cellIs" dxfId="413" priority="374" operator="lessThanOrEqual">
      <formula>I13</formula>
    </cfRule>
  </conditionalFormatting>
  <conditionalFormatting sqref="AE14">
    <cfRule type="cellIs" dxfId="412" priority="376" operator="lessThanOrEqual">
      <formula>I14</formula>
    </cfRule>
  </conditionalFormatting>
  <conditionalFormatting sqref="AE15">
    <cfRule type="cellIs" dxfId="411" priority="378" operator="lessThanOrEqual">
      <formula>I15</formula>
    </cfRule>
  </conditionalFormatting>
  <conditionalFormatting sqref="AE16">
    <cfRule type="cellIs" dxfId="410" priority="380" operator="lessThanOrEqual">
      <formula>I16</formula>
    </cfRule>
  </conditionalFormatting>
  <conditionalFormatting sqref="AE17">
    <cfRule type="cellIs" dxfId="409" priority="382" operator="lessThanOrEqual">
      <formula>I17</formula>
    </cfRule>
  </conditionalFormatting>
  <conditionalFormatting sqref="AE18">
    <cfRule type="cellIs" dxfId="408" priority="384" operator="lessThanOrEqual">
      <formula>I18</formula>
    </cfRule>
  </conditionalFormatting>
  <conditionalFormatting sqref="AE19">
    <cfRule type="cellIs" dxfId="407" priority="386" operator="lessThanOrEqual">
      <formula>I19</formula>
    </cfRule>
  </conditionalFormatting>
  <conditionalFormatting sqref="AE21">
    <cfRule type="cellIs" dxfId="406" priority="388" operator="lessThanOrEqual">
      <formula>I21</formula>
    </cfRule>
  </conditionalFormatting>
  <conditionalFormatting sqref="AE22">
    <cfRule type="cellIs" dxfId="405" priority="390" operator="lessThanOrEqual">
      <formula>I22</formula>
    </cfRule>
  </conditionalFormatting>
  <conditionalFormatting sqref="AE25">
    <cfRule type="cellIs" dxfId="404" priority="392" operator="lessThanOrEqual">
      <formula>I25</formula>
    </cfRule>
  </conditionalFormatting>
  <conditionalFormatting sqref="AE26">
    <cfRule type="cellIs" dxfId="403" priority="394" operator="lessThanOrEqual">
      <formula>I26</formula>
    </cfRule>
  </conditionalFormatting>
  <conditionalFormatting sqref="AE27">
    <cfRule type="cellIs" dxfId="402" priority="396" operator="lessThanOrEqual">
      <formula>I27</formula>
    </cfRule>
  </conditionalFormatting>
  <conditionalFormatting sqref="AE28">
    <cfRule type="cellIs" dxfId="401" priority="398" operator="lessThanOrEqual">
      <formula>I28</formula>
    </cfRule>
  </conditionalFormatting>
  <conditionalFormatting sqref="AE29">
    <cfRule type="cellIs" dxfId="400" priority="400" operator="lessThanOrEqual">
      <formula>I29</formula>
    </cfRule>
  </conditionalFormatting>
  <conditionalFormatting sqref="AE30">
    <cfRule type="cellIs" dxfId="399" priority="402" operator="lessThanOrEqual">
      <formula>I30</formula>
    </cfRule>
  </conditionalFormatting>
  <conditionalFormatting sqref="AE32">
    <cfRule type="cellIs" dxfId="398" priority="404" operator="lessThanOrEqual">
      <formula>I32</formula>
    </cfRule>
  </conditionalFormatting>
  <conditionalFormatting sqref="AE33">
    <cfRule type="cellIs" dxfId="397" priority="406" operator="lessThanOrEqual">
      <formula>I33</formula>
    </cfRule>
  </conditionalFormatting>
  <conditionalFormatting sqref="AE34">
    <cfRule type="cellIs" dxfId="396" priority="408" operator="lessThanOrEqual">
      <formula>I34</formula>
    </cfRule>
  </conditionalFormatting>
  <conditionalFormatting sqref="AE36">
    <cfRule type="cellIs" dxfId="395" priority="410" operator="lessThanOrEqual">
      <formula>I36</formula>
    </cfRule>
  </conditionalFormatting>
  <conditionalFormatting sqref="AE38">
    <cfRule type="cellIs" dxfId="394" priority="412" operator="lessThanOrEqual">
      <formula>I38</formula>
    </cfRule>
  </conditionalFormatting>
  <conditionalFormatting sqref="AE40">
    <cfRule type="cellIs" dxfId="393" priority="414" operator="lessThanOrEqual">
      <formula>I40</formula>
    </cfRule>
  </conditionalFormatting>
  <conditionalFormatting sqref="AE41">
    <cfRule type="cellIs" dxfId="392" priority="416" operator="lessThanOrEqual">
      <formula>I41</formula>
    </cfRule>
  </conditionalFormatting>
  <conditionalFormatting sqref="AE43">
    <cfRule type="cellIs" dxfId="391" priority="418" operator="lessThanOrEqual">
      <formula>I43</formula>
    </cfRule>
  </conditionalFormatting>
  <conditionalFormatting sqref="AE45">
    <cfRule type="cellIs" dxfId="390" priority="420" operator="lessThanOrEqual">
      <formula>I45</formula>
    </cfRule>
  </conditionalFormatting>
  <conditionalFormatting sqref="AE46">
    <cfRule type="cellIs" dxfId="389" priority="422" operator="lessThanOrEqual">
      <formula>I46</formula>
    </cfRule>
  </conditionalFormatting>
  <conditionalFormatting sqref="AE48">
    <cfRule type="cellIs" dxfId="388" priority="424" operator="lessThanOrEqual">
      <formula>I48</formula>
    </cfRule>
  </conditionalFormatting>
  <conditionalFormatting sqref="AE49">
    <cfRule type="cellIs" dxfId="387" priority="426" operator="lessThanOrEqual">
      <formula>I49</formula>
    </cfRule>
  </conditionalFormatting>
  <conditionalFormatting sqref="AE50">
    <cfRule type="cellIs" dxfId="386" priority="428" operator="lessThanOrEqual">
      <formula>I50</formula>
    </cfRule>
  </conditionalFormatting>
  <conditionalFormatting sqref="AE52">
    <cfRule type="cellIs" dxfId="385" priority="430" operator="lessThanOrEqual">
      <formula>I52</formula>
    </cfRule>
  </conditionalFormatting>
  <conditionalFormatting sqref="AE53">
    <cfRule type="cellIs" dxfId="384" priority="432" operator="lessThanOrEqual">
      <formula>I53</formula>
    </cfRule>
  </conditionalFormatting>
  <conditionalFormatting sqref="AE58">
    <cfRule type="cellIs" dxfId="383" priority="434" operator="lessThanOrEqual">
      <formula>I58</formula>
    </cfRule>
  </conditionalFormatting>
  <conditionalFormatting sqref="AE60">
    <cfRule type="cellIs" dxfId="382" priority="436" operator="lessThanOrEqual">
      <formula>I60</formula>
    </cfRule>
  </conditionalFormatting>
  <conditionalFormatting sqref="AE62">
    <cfRule type="cellIs" dxfId="381" priority="438" operator="lessThanOrEqual">
      <formula>I62</formula>
    </cfRule>
  </conditionalFormatting>
  <conditionalFormatting sqref="AE63">
    <cfRule type="cellIs" dxfId="380" priority="440" operator="lessThanOrEqual">
      <formula>I63</formula>
    </cfRule>
  </conditionalFormatting>
  <conditionalFormatting sqref="AE66">
    <cfRule type="cellIs" dxfId="379" priority="442" operator="lessThanOrEqual">
      <formula>I66</formula>
    </cfRule>
  </conditionalFormatting>
  <conditionalFormatting sqref="AE67">
    <cfRule type="cellIs" dxfId="378" priority="444" operator="lessThanOrEqual">
      <formula>I67</formula>
    </cfRule>
  </conditionalFormatting>
  <conditionalFormatting sqref="AE68">
    <cfRule type="cellIs" dxfId="377" priority="446" operator="lessThanOrEqual">
      <formula>I68</formula>
    </cfRule>
  </conditionalFormatting>
  <conditionalFormatting sqref="AE7">
    <cfRule type="cellIs" dxfId="376" priority="368" operator="lessThanOrEqual">
      <formula>I7</formula>
    </cfRule>
  </conditionalFormatting>
  <conditionalFormatting sqref="AE70">
    <cfRule type="cellIs" dxfId="375" priority="448" operator="lessThanOrEqual">
      <formula>I70</formula>
    </cfRule>
  </conditionalFormatting>
  <conditionalFormatting sqref="AE71">
    <cfRule type="cellIs" dxfId="374" priority="450" operator="lessThanOrEqual">
      <formula>I71</formula>
    </cfRule>
  </conditionalFormatting>
  <conditionalFormatting sqref="AE72">
    <cfRule type="cellIs" dxfId="373" priority="452" operator="lessThanOrEqual">
      <formula>I72</formula>
    </cfRule>
  </conditionalFormatting>
  <conditionalFormatting sqref="AE73">
    <cfRule type="cellIs" dxfId="372" priority="454" operator="lessThanOrEqual">
      <formula>I73</formula>
    </cfRule>
  </conditionalFormatting>
  <conditionalFormatting sqref="AE74">
    <cfRule type="cellIs" dxfId="371" priority="456" operator="lessThanOrEqual">
      <formula>I74</formula>
    </cfRule>
  </conditionalFormatting>
  <conditionalFormatting sqref="AE76">
    <cfRule type="cellIs" dxfId="370" priority="458" operator="lessThanOrEqual">
      <formula>I76</formula>
    </cfRule>
  </conditionalFormatting>
  <conditionalFormatting sqref="AE78">
    <cfRule type="cellIs" dxfId="369" priority="460" operator="lessThanOrEqual">
      <formula>I78</formula>
    </cfRule>
  </conditionalFormatting>
  <conditionalFormatting sqref="AE9">
    <cfRule type="cellIs" dxfId="368" priority="370" operator="lessThanOrEqual">
      <formula>I9</formula>
    </cfRule>
  </conditionalFormatting>
  <conditionalFormatting sqref="AJ11">
    <cfRule type="cellIs" dxfId="367" priority="465" operator="lessThanOrEqual">
      <formula>H11</formula>
    </cfRule>
  </conditionalFormatting>
  <conditionalFormatting sqref="AJ13">
    <cfRule type="cellIs" dxfId="366" priority="467" operator="lessThanOrEqual">
      <formula>H13</formula>
    </cfRule>
  </conditionalFormatting>
  <conditionalFormatting sqref="AJ14">
    <cfRule type="cellIs" dxfId="365" priority="469" operator="lessThanOrEqual">
      <formula>H14</formula>
    </cfRule>
  </conditionalFormatting>
  <conditionalFormatting sqref="AJ16">
    <cfRule type="cellIs" dxfId="364" priority="471" operator="lessThanOrEqual">
      <formula>H16</formula>
    </cfRule>
  </conditionalFormatting>
  <conditionalFormatting sqref="AJ18">
    <cfRule type="cellIs" dxfId="363" priority="473" operator="lessThanOrEqual">
      <formula>H18</formula>
    </cfRule>
  </conditionalFormatting>
  <conditionalFormatting sqref="AJ21">
    <cfRule type="cellIs" dxfId="362" priority="475" operator="lessThanOrEqual">
      <formula>H21</formula>
    </cfRule>
  </conditionalFormatting>
  <conditionalFormatting sqref="AJ25">
    <cfRule type="cellIs" dxfId="361" priority="477" operator="lessThanOrEqual">
      <formula>H25</formula>
    </cfRule>
  </conditionalFormatting>
  <conditionalFormatting sqref="AJ27">
    <cfRule type="cellIs" dxfId="360" priority="479" operator="lessThanOrEqual">
      <formula>H27</formula>
    </cfRule>
  </conditionalFormatting>
  <conditionalFormatting sqref="AJ30">
    <cfRule type="cellIs" dxfId="359" priority="481" operator="lessThanOrEqual">
      <formula>H30</formula>
    </cfRule>
  </conditionalFormatting>
  <conditionalFormatting sqref="AJ34">
    <cfRule type="cellIs" dxfId="358" priority="483" operator="lessThanOrEqual">
      <formula>H34</formula>
    </cfRule>
  </conditionalFormatting>
  <conditionalFormatting sqref="AJ35">
    <cfRule type="cellIs" dxfId="357" priority="485" operator="lessThanOrEqual">
      <formula>H35</formula>
    </cfRule>
  </conditionalFormatting>
  <conditionalFormatting sqref="AJ36">
    <cfRule type="cellIs" dxfId="356" priority="487" operator="lessThanOrEqual">
      <formula>H36</formula>
    </cfRule>
  </conditionalFormatting>
  <conditionalFormatting sqref="AJ38">
    <cfRule type="cellIs" dxfId="355" priority="489" operator="lessThanOrEqual">
      <formula>H38</formula>
    </cfRule>
  </conditionalFormatting>
  <conditionalFormatting sqref="AJ39">
    <cfRule type="cellIs" dxfId="354" priority="491" operator="lessThanOrEqual">
      <formula>H39</formula>
    </cfRule>
  </conditionalFormatting>
  <conditionalFormatting sqref="AJ40">
    <cfRule type="cellIs" dxfId="353" priority="493" operator="lessThanOrEqual">
      <formula>H40</formula>
    </cfRule>
  </conditionalFormatting>
  <conditionalFormatting sqref="AJ41">
    <cfRule type="cellIs" dxfId="352" priority="495" operator="lessThanOrEqual">
      <formula>H41</formula>
    </cfRule>
  </conditionalFormatting>
  <conditionalFormatting sqref="AJ42">
    <cfRule type="cellIs" dxfId="351" priority="497" operator="lessThanOrEqual">
      <formula>H42</formula>
    </cfRule>
  </conditionalFormatting>
  <conditionalFormatting sqref="AJ43">
    <cfRule type="cellIs" dxfId="350" priority="499" operator="lessThanOrEqual">
      <formula>H43</formula>
    </cfRule>
  </conditionalFormatting>
  <conditionalFormatting sqref="AJ45">
    <cfRule type="cellIs" dxfId="349" priority="501" operator="lessThanOrEqual">
      <formula>H45</formula>
    </cfRule>
  </conditionalFormatting>
  <conditionalFormatting sqref="AJ50">
    <cfRule type="cellIs" dxfId="348" priority="503" operator="lessThanOrEqual">
      <formula>H50</formula>
    </cfRule>
  </conditionalFormatting>
  <conditionalFormatting sqref="AJ52">
    <cfRule type="cellIs" dxfId="347" priority="505" operator="lessThanOrEqual">
      <formula>H52</formula>
    </cfRule>
  </conditionalFormatting>
  <conditionalFormatting sqref="AJ53">
    <cfRule type="cellIs" dxfId="346" priority="507" operator="lessThanOrEqual">
      <formula>H53</formula>
    </cfRule>
  </conditionalFormatting>
  <conditionalFormatting sqref="AJ60">
    <cfRule type="cellIs" dxfId="345" priority="509" operator="lessThanOrEqual">
      <formula>H60</formula>
    </cfRule>
  </conditionalFormatting>
  <conditionalFormatting sqref="AJ61">
    <cfRule type="cellIs" dxfId="344" priority="511" operator="lessThanOrEqual">
      <formula>H61</formula>
    </cfRule>
  </conditionalFormatting>
  <conditionalFormatting sqref="AJ63">
    <cfRule type="cellIs" dxfId="343" priority="513" operator="lessThanOrEqual">
      <formula>H63</formula>
    </cfRule>
  </conditionalFormatting>
  <conditionalFormatting sqref="AJ66">
    <cfRule type="cellIs" dxfId="342" priority="515" operator="lessThanOrEqual">
      <formula>H66</formula>
    </cfRule>
  </conditionalFormatting>
  <conditionalFormatting sqref="AJ67">
    <cfRule type="cellIs" dxfId="341" priority="517" operator="lessThanOrEqual">
      <formula>H67</formula>
    </cfRule>
  </conditionalFormatting>
  <conditionalFormatting sqref="AJ68">
    <cfRule type="cellIs" dxfId="340" priority="519" operator="lessThanOrEqual">
      <formula>H68</formula>
    </cfRule>
  </conditionalFormatting>
  <conditionalFormatting sqref="AJ7">
    <cfRule type="cellIs" dxfId="339" priority="461" operator="lessThanOrEqual">
      <formula>H7</formula>
    </cfRule>
  </conditionalFormatting>
  <conditionalFormatting sqref="AJ70">
    <cfRule type="cellIs" dxfId="338" priority="521" operator="lessThanOrEqual">
      <formula>H70</formula>
    </cfRule>
  </conditionalFormatting>
  <conditionalFormatting sqref="AJ71">
    <cfRule type="cellIs" dxfId="337" priority="523" operator="lessThanOrEqual">
      <formula>H71</formula>
    </cfRule>
  </conditionalFormatting>
  <conditionalFormatting sqref="AJ76">
    <cfRule type="cellIs" dxfId="336" priority="525" operator="lessThanOrEqual">
      <formula>H76</formula>
    </cfRule>
  </conditionalFormatting>
  <conditionalFormatting sqref="AJ77">
    <cfRule type="cellIs" dxfId="335" priority="527" operator="lessThanOrEqual">
      <formula>H77</formula>
    </cfRule>
  </conditionalFormatting>
  <conditionalFormatting sqref="AJ78">
    <cfRule type="cellIs" dxfId="334" priority="529" operator="lessThanOrEqual">
      <formula>H78</formula>
    </cfRule>
  </conditionalFormatting>
  <conditionalFormatting sqref="AJ9">
    <cfRule type="cellIs" dxfId="333" priority="463" operator="lessThanOrEqual">
      <formula>H9</formula>
    </cfRule>
  </conditionalFormatting>
  <conditionalFormatting sqref="AK11">
    <cfRule type="cellIs" dxfId="332" priority="466" operator="lessThanOrEqual">
      <formula>I11</formula>
    </cfRule>
  </conditionalFormatting>
  <conditionalFormatting sqref="AK13">
    <cfRule type="cellIs" dxfId="331" priority="468" operator="lessThanOrEqual">
      <formula>I13</formula>
    </cfRule>
  </conditionalFormatting>
  <conditionalFormatting sqref="AK14">
    <cfRule type="cellIs" dxfId="330" priority="470" operator="lessThanOrEqual">
      <formula>I14</formula>
    </cfRule>
  </conditionalFormatting>
  <conditionalFormatting sqref="AK16">
    <cfRule type="cellIs" dxfId="329" priority="472" operator="lessThanOrEqual">
      <formula>I16</formula>
    </cfRule>
  </conditionalFormatting>
  <conditionalFormatting sqref="AK18">
    <cfRule type="cellIs" dxfId="328" priority="474" operator="lessThanOrEqual">
      <formula>I18</formula>
    </cfRule>
  </conditionalFormatting>
  <conditionalFormatting sqref="AK21">
    <cfRule type="cellIs" dxfId="327" priority="476" operator="lessThanOrEqual">
      <formula>I21</formula>
    </cfRule>
  </conditionalFormatting>
  <conditionalFormatting sqref="AK25">
    <cfRule type="cellIs" dxfId="326" priority="478" operator="lessThanOrEqual">
      <formula>I25</formula>
    </cfRule>
  </conditionalFormatting>
  <conditionalFormatting sqref="AK27">
    <cfRule type="cellIs" dxfId="325" priority="480" operator="lessThanOrEqual">
      <formula>I27</formula>
    </cfRule>
  </conditionalFormatting>
  <conditionalFormatting sqref="AK30">
    <cfRule type="cellIs" dxfId="324" priority="482" operator="lessThanOrEqual">
      <formula>I30</formula>
    </cfRule>
  </conditionalFormatting>
  <conditionalFormatting sqref="AK34">
    <cfRule type="cellIs" dxfId="323" priority="484" operator="lessThanOrEqual">
      <formula>I34</formula>
    </cfRule>
  </conditionalFormatting>
  <conditionalFormatting sqref="AK35">
    <cfRule type="cellIs" dxfId="322" priority="486" operator="lessThanOrEqual">
      <formula>I35</formula>
    </cfRule>
  </conditionalFormatting>
  <conditionalFormatting sqref="AK36">
    <cfRule type="cellIs" dxfId="321" priority="488" operator="lessThanOrEqual">
      <formula>I36</formula>
    </cfRule>
  </conditionalFormatting>
  <conditionalFormatting sqref="AK38">
    <cfRule type="cellIs" dxfId="320" priority="490" operator="lessThanOrEqual">
      <formula>I38</formula>
    </cfRule>
  </conditionalFormatting>
  <conditionalFormatting sqref="AK39">
    <cfRule type="cellIs" dxfId="319" priority="492" operator="lessThanOrEqual">
      <formula>I39</formula>
    </cfRule>
  </conditionalFormatting>
  <conditionalFormatting sqref="AK40">
    <cfRule type="cellIs" dxfId="318" priority="494" operator="lessThanOrEqual">
      <formula>I40</formula>
    </cfRule>
  </conditionalFormatting>
  <conditionalFormatting sqref="AK41">
    <cfRule type="cellIs" dxfId="317" priority="496" operator="lessThanOrEqual">
      <formula>I41</formula>
    </cfRule>
  </conditionalFormatting>
  <conditionalFormatting sqref="AK42">
    <cfRule type="cellIs" dxfId="316" priority="498" operator="lessThanOrEqual">
      <formula>I42</formula>
    </cfRule>
  </conditionalFormatting>
  <conditionalFormatting sqref="AK43">
    <cfRule type="cellIs" dxfId="315" priority="500" operator="lessThanOrEqual">
      <formula>I43</formula>
    </cfRule>
  </conditionalFormatting>
  <conditionalFormatting sqref="AK45">
    <cfRule type="cellIs" dxfId="314" priority="502" operator="lessThanOrEqual">
      <formula>I45</formula>
    </cfRule>
  </conditionalFormatting>
  <conditionalFormatting sqref="AK50">
    <cfRule type="cellIs" dxfId="313" priority="504" operator="lessThanOrEqual">
      <formula>I50</formula>
    </cfRule>
  </conditionalFormatting>
  <conditionalFormatting sqref="AK52">
    <cfRule type="cellIs" dxfId="312" priority="506" operator="lessThanOrEqual">
      <formula>I52</formula>
    </cfRule>
  </conditionalFormatting>
  <conditionalFormatting sqref="AK53">
    <cfRule type="cellIs" dxfId="311" priority="508" operator="lessThanOrEqual">
      <formula>I53</formula>
    </cfRule>
  </conditionalFormatting>
  <conditionalFormatting sqref="AK60">
    <cfRule type="cellIs" dxfId="310" priority="510" operator="lessThanOrEqual">
      <formula>I60</formula>
    </cfRule>
  </conditionalFormatting>
  <conditionalFormatting sqref="AK61">
    <cfRule type="cellIs" dxfId="309" priority="512" operator="lessThanOrEqual">
      <formula>I61</formula>
    </cfRule>
  </conditionalFormatting>
  <conditionalFormatting sqref="AK63">
    <cfRule type="cellIs" dxfId="308" priority="514" operator="lessThanOrEqual">
      <formula>I63</formula>
    </cfRule>
  </conditionalFormatting>
  <conditionalFormatting sqref="AK66">
    <cfRule type="cellIs" dxfId="307" priority="516" operator="lessThanOrEqual">
      <formula>I66</formula>
    </cfRule>
  </conditionalFormatting>
  <conditionalFormatting sqref="AK67">
    <cfRule type="cellIs" dxfId="306" priority="518" operator="lessThanOrEqual">
      <formula>I67</formula>
    </cfRule>
  </conditionalFormatting>
  <conditionalFormatting sqref="AK68">
    <cfRule type="cellIs" dxfId="305" priority="520" operator="lessThanOrEqual">
      <formula>I68</formula>
    </cfRule>
  </conditionalFormatting>
  <conditionalFormatting sqref="AK7">
    <cfRule type="cellIs" dxfId="304" priority="462" operator="lessThanOrEqual">
      <formula>I7</formula>
    </cfRule>
  </conditionalFormatting>
  <conditionalFormatting sqref="AK70">
    <cfRule type="cellIs" dxfId="303" priority="522" operator="lessThanOrEqual">
      <formula>I70</formula>
    </cfRule>
  </conditionalFormatting>
  <conditionalFormatting sqref="AK71">
    <cfRule type="cellIs" dxfId="302" priority="524" operator="lessThanOrEqual">
      <formula>I71</formula>
    </cfRule>
  </conditionalFormatting>
  <conditionalFormatting sqref="AK76">
    <cfRule type="cellIs" dxfId="301" priority="526" operator="lessThanOrEqual">
      <formula>I76</formula>
    </cfRule>
  </conditionalFormatting>
  <conditionalFormatting sqref="AK77">
    <cfRule type="cellIs" dxfId="300" priority="528" operator="lessThanOrEqual">
      <formula>I77</formula>
    </cfRule>
  </conditionalFormatting>
  <conditionalFormatting sqref="AK78">
    <cfRule type="cellIs" dxfId="299" priority="530" operator="lessThanOrEqual">
      <formula>I78</formula>
    </cfRule>
  </conditionalFormatting>
  <conditionalFormatting sqref="AK9">
    <cfRule type="cellIs" dxfId="298" priority="464" operator="lessThanOrEqual">
      <formula>I9</formula>
    </cfRule>
  </conditionalFormatting>
  <conditionalFormatting sqref="L10">
    <cfRule type="cellIs" dxfId="297" priority="77" operator="lessThanOrEqual">
      <formula>H10</formula>
    </cfRule>
  </conditionalFormatting>
  <conditionalFormatting sqref="L11">
    <cfRule type="cellIs" dxfId="296" priority="79" operator="lessThanOrEqual">
      <formula>H11</formula>
    </cfRule>
  </conditionalFormatting>
  <conditionalFormatting sqref="L12">
    <cfRule type="cellIs" dxfId="295" priority="81" operator="lessThanOrEqual">
      <formula>H12</formula>
    </cfRule>
  </conditionalFormatting>
  <conditionalFormatting sqref="L13">
    <cfRule type="cellIs" dxfId="294" priority="83" operator="lessThanOrEqual">
      <formula>H13</formula>
    </cfRule>
  </conditionalFormatting>
  <conditionalFormatting sqref="L14">
    <cfRule type="cellIs" dxfId="293" priority="85" operator="lessThanOrEqual">
      <formula>H14</formula>
    </cfRule>
  </conditionalFormatting>
  <conditionalFormatting sqref="L16">
    <cfRule type="cellIs" dxfId="292" priority="87" operator="lessThanOrEqual">
      <formula>H16</formula>
    </cfRule>
  </conditionalFormatting>
  <conditionalFormatting sqref="L17">
    <cfRule type="cellIs" dxfId="291" priority="89" operator="lessThanOrEqual">
      <formula>H17</formula>
    </cfRule>
  </conditionalFormatting>
  <conditionalFormatting sqref="L18">
    <cfRule type="cellIs" dxfId="290" priority="91" operator="lessThanOrEqual">
      <formula>H18</formula>
    </cfRule>
  </conditionalFormatting>
  <conditionalFormatting sqref="L19">
    <cfRule type="cellIs" dxfId="289" priority="93" operator="lessThanOrEqual">
      <formula>H19</formula>
    </cfRule>
  </conditionalFormatting>
  <conditionalFormatting sqref="L21">
    <cfRule type="cellIs" dxfId="288" priority="95" operator="lessThanOrEqual">
      <formula>H21</formula>
    </cfRule>
  </conditionalFormatting>
  <conditionalFormatting sqref="L22">
    <cfRule type="cellIs" dxfId="287" priority="97" operator="lessThanOrEqual">
      <formula>H22</formula>
    </cfRule>
  </conditionalFormatting>
  <conditionalFormatting sqref="L24">
    <cfRule type="cellIs" dxfId="286" priority="99" operator="lessThanOrEqual">
      <formula>H24</formula>
    </cfRule>
  </conditionalFormatting>
  <conditionalFormatting sqref="L25">
    <cfRule type="cellIs" dxfId="285" priority="101" operator="lessThanOrEqual">
      <formula>H25</formula>
    </cfRule>
  </conditionalFormatting>
  <conditionalFormatting sqref="L26">
    <cfRule type="cellIs" dxfId="284" priority="103" operator="lessThanOrEqual">
      <formula>H26</formula>
    </cfRule>
  </conditionalFormatting>
  <conditionalFormatting sqref="L27">
    <cfRule type="cellIs" dxfId="283" priority="105" operator="lessThanOrEqual">
      <formula>H27</formula>
    </cfRule>
  </conditionalFormatting>
  <conditionalFormatting sqref="L28">
    <cfRule type="cellIs" dxfId="282" priority="107" operator="lessThanOrEqual">
      <formula>H28</formula>
    </cfRule>
  </conditionalFormatting>
  <conditionalFormatting sqref="L29">
    <cfRule type="cellIs" dxfId="281" priority="109" operator="lessThanOrEqual">
      <formula>H29</formula>
    </cfRule>
  </conditionalFormatting>
  <conditionalFormatting sqref="L30">
    <cfRule type="cellIs" dxfId="280" priority="111" operator="lessThanOrEqual">
      <formula>H30</formula>
    </cfRule>
  </conditionalFormatting>
  <conditionalFormatting sqref="L32">
    <cfRule type="cellIs" dxfId="279" priority="113" operator="lessThanOrEqual">
      <formula>H32</formula>
    </cfRule>
  </conditionalFormatting>
  <conditionalFormatting sqref="L33">
    <cfRule type="cellIs" dxfId="278" priority="115" operator="lessThanOrEqual">
      <formula>H33</formula>
    </cfRule>
  </conditionalFormatting>
  <conditionalFormatting sqref="L34">
    <cfRule type="cellIs" dxfId="277" priority="117" operator="lessThanOrEqual">
      <formula>H34</formula>
    </cfRule>
  </conditionalFormatting>
  <conditionalFormatting sqref="L35">
    <cfRule type="cellIs" dxfId="276" priority="119" operator="lessThanOrEqual">
      <formula>H35</formula>
    </cfRule>
  </conditionalFormatting>
  <conditionalFormatting sqref="L36">
    <cfRule type="cellIs" dxfId="275" priority="121" operator="lessThanOrEqual">
      <formula>H36</formula>
    </cfRule>
  </conditionalFormatting>
  <conditionalFormatting sqref="L37">
    <cfRule type="cellIs" dxfId="274" priority="123" operator="lessThanOrEqual">
      <formula>H37</formula>
    </cfRule>
  </conditionalFormatting>
  <conditionalFormatting sqref="L38">
    <cfRule type="cellIs" dxfId="273" priority="125" operator="lessThanOrEqual">
      <formula>H38</formula>
    </cfRule>
  </conditionalFormatting>
  <conditionalFormatting sqref="L39">
    <cfRule type="cellIs" dxfId="272" priority="127" operator="lessThanOrEqual">
      <formula>H39</formula>
    </cfRule>
  </conditionalFormatting>
  <conditionalFormatting sqref="L40">
    <cfRule type="cellIs" dxfId="271" priority="129" operator="lessThanOrEqual">
      <formula>H40</formula>
    </cfRule>
  </conditionalFormatting>
  <conditionalFormatting sqref="L41">
    <cfRule type="cellIs" dxfId="270" priority="131" operator="lessThanOrEqual">
      <formula>H41</formula>
    </cfRule>
  </conditionalFormatting>
  <conditionalFormatting sqref="L42">
    <cfRule type="cellIs" dxfId="269" priority="133" operator="lessThanOrEqual">
      <formula>H42</formula>
    </cfRule>
  </conditionalFormatting>
  <conditionalFormatting sqref="L43">
    <cfRule type="cellIs" dxfId="268" priority="135" operator="lessThanOrEqual">
      <formula>H43</formula>
    </cfRule>
  </conditionalFormatting>
  <conditionalFormatting sqref="L45">
    <cfRule type="cellIs" dxfId="267" priority="137" operator="lessThanOrEqual">
      <formula>H45</formula>
    </cfRule>
  </conditionalFormatting>
  <conditionalFormatting sqref="L46">
    <cfRule type="cellIs" dxfId="266" priority="139" operator="lessThanOrEqual">
      <formula>H46</formula>
    </cfRule>
  </conditionalFormatting>
  <conditionalFormatting sqref="L48">
    <cfRule type="cellIs" dxfId="265" priority="141" operator="lessThanOrEqual">
      <formula>H48</formula>
    </cfRule>
  </conditionalFormatting>
  <conditionalFormatting sqref="L50">
    <cfRule type="cellIs" dxfId="264" priority="143" operator="lessThanOrEqual">
      <formula>H50</formula>
    </cfRule>
  </conditionalFormatting>
  <conditionalFormatting sqref="L51">
    <cfRule type="cellIs" dxfId="263" priority="145" operator="lessThanOrEqual">
      <formula>H51</formula>
    </cfRule>
  </conditionalFormatting>
  <conditionalFormatting sqref="L52">
    <cfRule type="cellIs" dxfId="262" priority="147" operator="lessThanOrEqual">
      <formula>H52</formula>
    </cfRule>
  </conditionalFormatting>
  <conditionalFormatting sqref="L53">
    <cfRule type="cellIs" dxfId="261" priority="149" operator="lessThanOrEqual">
      <formula>H53</formula>
    </cfRule>
  </conditionalFormatting>
  <conditionalFormatting sqref="L58">
    <cfRule type="cellIs" dxfId="260" priority="151" operator="lessThanOrEqual">
      <formula>H58</formula>
    </cfRule>
  </conditionalFormatting>
  <conditionalFormatting sqref="L59">
    <cfRule type="cellIs" dxfId="259" priority="153" operator="lessThanOrEqual">
      <formula>H59</formula>
    </cfRule>
  </conditionalFormatting>
  <conditionalFormatting sqref="L60">
    <cfRule type="cellIs" dxfId="258" priority="155" operator="lessThanOrEqual">
      <formula>H60</formula>
    </cfRule>
  </conditionalFormatting>
  <conditionalFormatting sqref="L61">
    <cfRule type="cellIs" dxfId="257" priority="157" operator="lessThanOrEqual">
      <formula>H61</formula>
    </cfRule>
  </conditionalFormatting>
  <conditionalFormatting sqref="L62">
    <cfRule type="cellIs" dxfId="256" priority="159" operator="lessThanOrEqual">
      <formula>H62</formula>
    </cfRule>
  </conditionalFormatting>
  <conditionalFormatting sqref="L63">
    <cfRule type="cellIs" dxfId="255" priority="161" operator="lessThanOrEqual">
      <formula>H63</formula>
    </cfRule>
  </conditionalFormatting>
  <conditionalFormatting sqref="L66">
    <cfRule type="cellIs" dxfId="254" priority="163" operator="lessThanOrEqual">
      <formula>H66</formula>
    </cfRule>
  </conditionalFormatting>
  <conditionalFormatting sqref="L67">
    <cfRule type="cellIs" dxfId="253" priority="165" operator="lessThanOrEqual">
      <formula>H67</formula>
    </cfRule>
  </conditionalFormatting>
  <conditionalFormatting sqref="L68">
    <cfRule type="cellIs" dxfId="252" priority="167" operator="lessThanOrEqual">
      <formula>H68</formula>
    </cfRule>
  </conditionalFormatting>
  <conditionalFormatting sqref="L7">
    <cfRule type="cellIs" dxfId="251" priority="71" operator="lessThanOrEqual">
      <formula>H7</formula>
    </cfRule>
  </conditionalFormatting>
  <conditionalFormatting sqref="L70">
    <cfRule type="cellIs" dxfId="250" priority="169" operator="lessThanOrEqual">
      <formula>H70</formula>
    </cfRule>
  </conditionalFormatting>
  <conditionalFormatting sqref="L71">
    <cfRule type="cellIs" dxfId="249" priority="171" operator="lessThanOrEqual">
      <formula>H71</formula>
    </cfRule>
  </conditionalFormatting>
  <conditionalFormatting sqref="L72">
    <cfRule type="cellIs" dxfId="248" priority="173" operator="lessThanOrEqual">
      <formula>H72</formula>
    </cfRule>
  </conditionalFormatting>
  <conditionalFormatting sqref="L74">
    <cfRule type="cellIs" dxfId="247" priority="175" operator="lessThanOrEqual">
      <formula>H74</formula>
    </cfRule>
  </conditionalFormatting>
  <conditionalFormatting sqref="L76">
    <cfRule type="cellIs" dxfId="246" priority="177" operator="lessThanOrEqual">
      <formula>H76</formula>
    </cfRule>
  </conditionalFormatting>
  <conditionalFormatting sqref="L77">
    <cfRule type="cellIs" dxfId="245" priority="179" operator="lessThanOrEqual">
      <formula>H77</formula>
    </cfRule>
  </conditionalFormatting>
  <conditionalFormatting sqref="L78:L82">
    <cfRule type="cellIs" dxfId="244" priority="181" operator="lessThanOrEqual">
      <formula>H78</formula>
    </cfRule>
  </conditionalFormatting>
  <conditionalFormatting sqref="L8">
    <cfRule type="cellIs" dxfId="243" priority="73" operator="lessThanOrEqual">
      <formula>H8</formula>
    </cfRule>
  </conditionalFormatting>
  <conditionalFormatting sqref="L9">
    <cfRule type="cellIs" dxfId="242" priority="75" operator="lessThanOrEqual">
      <formula>H9</formula>
    </cfRule>
  </conditionalFormatting>
  <conditionalFormatting sqref="M10">
    <cfRule type="cellIs" dxfId="241" priority="78" operator="lessThanOrEqual">
      <formula>I10</formula>
    </cfRule>
  </conditionalFormatting>
  <conditionalFormatting sqref="M11">
    <cfRule type="cellIs" dxfId="240" priority="80" operator="lessThanOrEqual">
      <formula>I11</formula>
    </cfRule>
  </conditionalFormatting>
  <conditionalFormatting sqref="M12">
    <cfRule type="cellIs" dxfId="239" priority="82" operator="lessThanOrEqual">
      <formula>I12</formula>
    </cfRule>
  </conditionalFormatting>
  <conditionalFormatting sqref="M13">
    <cfRule type="cellIs" dxfId="238" priority="84" operator="lessThanOrEqual">
      <formula>I13</formula>
    </cfRule>
  </conditionalFormatting>
  <conditionalFormatting sqref="M14">
    <cfRule type="cellIs" dxfId="237" priority="86" operator="lessThanOrEqual">
      <formula>I14</formula>
    </cfRule>
  </conditionalFormatting>
  <conditionalFormatting sqref="M16">
    <cfRule type="cellIs" dxfId="236" priority="88" operator="lessThanOrEqual">
      <formula>I16</formula>
    </cfRule>
  </conditionalFormatting>
  <conditionalFormatting sqref="M17">
    <cfRule type="cellIs" dxfId="235" priority="90" operator="lessThanOrEqual">
      <formula>I17</formula>
    </cfRule>
  </conditionalFormatting>
  <conditionalFormatting sqref="M18">
    <cfRule type="cellIs" dxfId="234" priority="92" operator="lessThanOrEqual">
      <formula>I18</formula>
    </cfRule>
  </conditionalFormatting>
  <conditionalFormatting sqref="M19">
    <cfRule type="cellIs" dxfId="233" priority="94" operator="lessThanOrEqual">
      <formula>I19</formula>
    </cfRule>
  </conditionalFormatting>
  <conditionalFormatting sqref="M21">
    <cfRule type="cellIs" dxfId="232" priority="96" operator="lessThanOrEqual">
      <formula>I21</formula>
    </cfRule>
  </conditionalFormatting>
  <conditionalFormatting sqref="M22">
    <cfRule type="cellIs" dxfId="231" priority="98" operator="lessThanOrEqual">
      <formula>I22</formula>
    </cfRule>
  </conditionalFormatting>
  <conditionalFormatting sqref="M24">
    <cfRule type="cellIs" dxfId="230" priority="100" operator="lessThanOrEqual">
      <formula>I24</formula>
    </cfRule>
  </conditionalFormatting>
  <conditionalFormatting sqref="M25">
    <cfRule type="cellIs" dxfId="229" priority="102" operator="lessThanOrEqual">
      <formula>I25</formula>
    </cfRule>
  </conditionalFormatting>
  <conditionalFormatting sqref="M26">
    <cfRule type="cellIs" dxfId="228" priority="104" operator="lessThanOrEqual">
      <formula>I26</formula>
    </cfRule>
  </conditionalFormatting>
  <conditionalFormatting sqref="M27">
    <cfRule type="cellIs" dxfId="227" priority="106" operator="lessThanOrEqual">
      <formula>I27</formula>
    </cfRule>
  </conditionalFormatting>
  <conditionalFormatting sqref="M28">
    <cfRule type="cellIs" dxfId="226" priority="108" operator="lessThanOrEqual">
      <formula>I28</formula>
    </cfRule>
  </conditionalFormatting>
  <conditionalFormatting sqref="M29">
    <cfRule type="cellIs" dxfId="225" priority="110" operator="lessThanOrEqual">
      <formula>I29</formula>
    </cfRule>
  </conditionalFormatting>
  <conditionalFormatting sqref="M30">
    <cfRule type="cellIs" dxfId="224" priority="112" operator="lessThanOrEqual">
      <formula>I30</formula>
    </cfRule>
  </conditionalFormatting>
  <conditionalFormatting sqref="M32">
    <cfRule type="cellIs" dxfId="223" priority="114" operator="lessThanOrEqual">
      <formula>I32</formula>
    </cfRule>
  </conditionalFormatting>
  <conditionalFormatting sqref="M33">
    <cfRule type="cellIs" dxfId="222" priority="116" operator="lessThanOrEqual">
      <formula>I33</formula>
    </cfRule>
  </conditionalFormatting>
  <conditionalFormatting sqref="M34">
    <cfRule type="cellIs" dxfId="221" priority="118" operator="lessThanOrEqual">
      <formula>I34</formula>
    </cfRule>
  </conditionalFormatting>
  <conditionalFormatting sqref="M35">
    <cfRule type="cellIs" dxfId="220" priority="120" operator="lessThanOrEqual">
      <formula>I35</formula>
    </cfRule>
  </conditionalFormatting>
  <conditionalFormatting sqref="M36">
    <cfRule type="cellIs" dxfId="219" priority="122" operator="lessThanOrEqual">
      <formula>I36</formula>
    </cfRule>
  </conditionalFormatting>
  <conditionalFormatting sqref="M37">
    <cfRule type="cellIs" dxfId="218" priority="124" operator="lessThanOrEqual">
      <formula>I37</formula>
    </cfRule>
  </conditionalFormatting>
  <conditionalFormatting sqref="M38">
    <cfRule type="cellIs" dxfId="217" priority="126" operator="lessThanOrEqual">
      <formula>I38</formula>
    </cfRule>
  </conditionalFormatting>
  <conditionalFormatting sqref="M39">
    <cfRule type="cellIs" dxfId="216" priority="128" operator="lessThanOrEqual">
      <formula>I39</formula>
    </cfRule>
  </conditionalFormatting>
  <conditionalFormatting sqref="M40">
    <cfRule type="cellIs" dxfId="215" priority="130" operator="lessThanOrEqual">
      <formula>I40</formula>
    </cfRule>
  </conditionalFormatting>
  <conditionalFormatting sqref="M41">
    <cfRule type="cellIs" dxfId="214" priority="132" operator="lessThanOrEqual">
      <formula>I41</formula>
    </cfRule>
  </conditionalFormatting>
  <conditionalFormatting sqref="M42">
    <cfRule type="cellIs" dxfId="213" priority="134" operator="lessThanOrEqual">
      <formula>I42</formula>
    </cfRule>
  </conditionalFormatting>
  <conditionalFormatting sqref="M43">
    <cfRule type="cellIs" dxfId="212" priority="136" operator="lessThanOrEqual">
      <formula>I43</formula>
    </cfRule>
  </conditionalFormatting>
  <conditionalFormatting sqref="M45">
    <cfRule type="cellIs" dxfId="211" priority="138" operator="lessThanOrEqual">
      <formula>I45</formula>
    </cfRule>
  </conditionalFormatting>
  <conditionalFormatting sqref="M46">
    <cfRule type="cellIs" dxfId="210" priority="140" operator="lessThanOrEqual">
      <formula>I46</formula>
    </cfRule>
  </conditionalFormatting>
  <conditionalFormatting sqref="M48">
    <cfRule type="cellIs" dxfId="209" priority="142" operator="lessThanOrEqual">
      <formula>I48</formula>
    </cfRule>
  </conditionalFormatting>
  <conditionalFormatting sqref="M50">
    <cfRule type="cellIs" dxfId="208" priority="144" operator="lessThanOrEqual">
      <formula>I50</formula>
    </cfRule>
  </conditionalFormatting>
  <conditionalFormatting sqref="M51">
    <cfRule type="cellIs" dxfId="207" priority="146" operator="lessThanOrEqual">
      <formula>I51</formula>
    </cfRule>
  </conditionalFormatting>
  <conditionalFormatting sqref="M52">
    <cfRule type="cellIs" dxfId="206" priority="148" operator="lessThanOrEqual">
      <formula>I52</formula>
    </cfRule>
  </conditionalFormatting>
  <conditionalFormatting sqref="M53">
    <cfRule type="cellIs" dxfId="205" priority="150" operator="lessThanOrEqual">
      <formula>I53</formula>
    </cfRule>
  </conditionalFormatting>
  <conditionalFormatting sqref="M58">
    <cfRule type="cellIs" dxfId="204" priority="152" operator="lessThanOrEqual">
      <formula>I58</formula>
    </cfRule>
  </conditionalFormatting>
  <conditionalFormatting sqref="M59">
    <cfRule type="cellIs" dxfId="203" priority="154" operator="lessThanOrEqual">
      <formula>I59</formula>
    </cfRule>
  </conditionalFormatting>
  <conditionalFormatting sqref="M60">
    <cfRule type="cellIs" dxfId="202" priority="156" operator="lessThanOrEqual">
      <formula>I60</formula>
    </cfRule>
  </conditionalFormatting>
  <conditionalFormatting sqref="M61">
    <cfRule type="cellIs" dxfId="201" priority="158" operator="lessThanOrEqual">
      <formula>I61</formula>
    </cfRule>
  </conditionalFormatting>
  <conditionalFormatting sqref="M62">
    <cfRule type="cellIs" dxfId="200" priority="160" operator="lessThanOrEqual">
      <formula>I62</formula>
    </cfRule>
  </conditionalFormatting>
  <conditionalFormatting sqref="M63">
    <cfRule type="cellIs" dxfId="199" priority="162" operator="lessThanOrEqual">
      <formula>I63</formula>
    </cfRule>
  </conditionalFormatting>
  <conditionalFormatting sqref="M66">
    <cfRule type="cellIs" dxfId="198" priority="164" operator="lessThanOrEqual">
      <formula>I66</formula>
    </cfRule>
  </conditionalFormatting>
  <conditionalFormatting sqref="M67">
    <cfRule type="cellIs" dxfId="197" priority="166" operator="lessThanOrEqual">
      <formula>I67</formula>
    </cfRule>
  </conditionalFormatting>
  <conditionalFormatting sqref="M68">
    <cfRule type="cellIs" dxfId="196" priority="168" operator="lessThanOrEqual">
      <formula>I68</formula>
    </cfRule>
  </conditionalFormatting>
  <conditionalFormatting sqref="M7">
    <cfRule type="cellIs" dxfId="195" priority="72" operator="lessThanOrEqual">
      <formula>I7</formula>
    </cfRule>
  </conditionalFormatting>
  <conditionalFormatting sqref="M70">
    <cfRule type="cellIs" dxfId="194" priority="170" operator="lessThanOrEqual">
      <formula>I70</formula>
    </cfRule>
  </conditionalFormatting>
  <conditionalFormatting sqref="M71">
    <cfRule type="cellIs" dxfId="193" priority="172" operator="lessThanOrEqual">
      <formula>I71</formula>
    </cfRule>
  </conditionalFormatting>
  <conditionalFormatting sqref="M72">
    <cfRule type="cellIs" dxfId="192" priority="174" operator="lessThanOrEqual">
      <formula>I72</formula>
    </cfRule>
  </conditionalFormatting>
  <conditionalFormatting sqref="M74">
    <cfRule type="cellIs" dxfId="191" priority="176" operator="lessThanOrEqual">
      <formula>I74</formula>
    </cfRule>
  </conditionalFormatting>
  <conditionalFormatting sqref="M76">
    <cfRule type="cellIs" dxfId="190" priority="178" operator="lessThanOrEqual">
      <formula>I76</formula>
    </cfRule>
  </conditionalFormatting>
  <conditionalFormatting sqref="M77">
    <cfRule type="cellIs" dxfId="189" priority="180" operator="lessThanOrEqual">
      <formula>I77</formula>
    </cfRule>
  </conditionalFormatting>
  <conditionalFormatting sqref="M78">
    <cfRule type="cellIs" dxfId="188" priority="182" operator="lessThanOrEqual">
      <formula>I78</formula>
    </cfRule>
  </conditionalFormatting>
  <conditionalFormatting sqref="M8">
    <cfRule type="cellIs" dxfId="187" priority="74" operator="lessThanOrEqual">
      <formula>I8</formula>
    </cfRule>
  </conditionalFormatting>
  <conditionalFormatting sqref="M9">
    <cfRule type="cellIs" dxfId="186" priority="76" operator="lessThanOrEqual">
      <formula>I9</formula>
    </cfRule>
  </conditionalFormatting>
  <conditionalFormatting sqref="R12">
    <cfRule type="cellIs" dxfId="185" priority="187" operator="lessThanOrEqual">
      <formula>H12</formula>
    </cfRule>
  </conditionalFormatting>
  <conditionalFormatting sqref="R13">
    <cfRule type="cellIs" dxfId="184" priority="189" operator="lessThanOrEqual">
      <formula>H13</formula>
    </cfRule>
  </conditionalFormatting>
  <conditionalFormatting sqref="R14">
    <cfRule type="cellIs" dxfId="183" priority="191" operator="lessThanOrEqual">
      <formula>H14</formula>
    </cfRule>
  </conditionalFormatting>
  <conditionalFormatting sqref="R15">
    <cfRule type="cellIs" dxfId="182" priority="193" operator="lessThanOrEqual">
      <formula>H15</formula>
    </cfRule>
  </conditionalFormatting>
  <conditionalFormatting sqref="R16">
    <cfRule type="cellIs" dxfId="181" priority="195" operator="lessThanOrEqual">
      <formula>H16</formula>
    </cfRule>
  </conditionalFormatting>
  <conditionalFormatting sqref="R17">
    <cfRule type="cellIs" dxfId="180" priority="197" operator="lessThanOrEqual">
      <formula>H17</formula>
    </cfRule>
  </conditionalFormatting>
  <conditionalFormatting sqref="R18">
    <cfRule type="cellIs" dxfId="179" priority="199" operator="lessThanOrEqual">
      <formula>H18</formula>
    </cfRule>
  </conditionalFormatting>
  <conditionalFormatting sqref="R19">
    <cfRule type="cellIs" dxfId="178" priority="201" operator="lessThanOrEqual">
      <formula>H19</formula>
    </cfRule>
  </conditionalFormatting>
  <conditionalFormatting sqref="R21">
    <cfRule type="cellIs" dxfId="177" priority="203" operator="lessThanOrEqual">
      <formula>H21</formula>
    </cfRule>
  </conditionalFormatting>
  <conditionalFormatting sqref="R25">
    <cfRule type="cellIs" dxfId="176" priority="205" operator="lessThanOrEqual">
      <formula>H25</formula>
    </cfRule>
  </conditionalFormatting>
  <conditionalFormatting sqref="R26">
    <cfRule type="cellIs" dxfId="175" priority="207" operator="lessThanOrEqual">
      <formula>H26</formula>
    </cfRule>
  </conditionalFormatting>
  <conditionalFormatting sqref="R27">
    <cfRule type="cellIs" dxfId="174" priority="209" operator="lessThanOrEqual">
      <formula>H27</formula>
    </cfRule>
  </conditionalFormatting>
  <conditionalFormatting sqref="R28">
    <cfRule type="cellIs" dxfId="173" priority="211" operator="lessThanOrEqual">
      <formula>H28</formula>
    </cfRule>
  </conditionalFormatting>
  <conditionalFormatting sqref="R30">
    <cfRule type="cellIs" dxfId="172" priority="213" operator="lessThanOrEqual">
      <formula>H30</formula>
    </cfRule>
  </conditionalFormatting>
  <conditionalFormatting sqref="R32">
    <cfRule type="cellIs" dxfId="171" priority="215" operator="lessThanOrEqual">
      <formula>H32</formula>
    </cfRule>
  </conditionalFormatting>
  <conditionalFormatting sqref="R33">
    <cfRule type="cellIs" dxfId="170" priority="217" operator="lessThanOrEqual">
      <formula>H33</formula>
    </cfRule>
  </conditionalFormatting>
  <conditionalFormatting sqref="R34">
    <cfRule type="cellIs" dxfId="169" priority="219" operator="lessThanOrEqual">
      <formula>H34</formula>
    </cfRule>
  </conditionalFormatting>
  <conditionalFormatting sqref="R36">
    <cfRule type="cellIs" dxfId="168" priority="221" operator="lessThanOrEqual">
      <formula>H36</formula>
    </cfRule>
  </conditionalFormatting>
  <conditionalFormatting sqref="R38">
    <cfRule type="cellIs" dxfId="167" priority="223" operator="lessThanOrEqual">
      <formula>H38</formula>
    </cfRule>
  </conditionalFormatting>
  <conditionalFormatting sqref="R40">
    <cfRule type="cellIs" dxfId="166" priority="225" operator="lessThanOrEqual">
      <formula>H40</formula>
    </cfRule>
  </conditionalFormatting>
  <conditionalFormatting sqref="R41">
    <cfRule type="cellIs" dxfId="165" priority="227" operator="lessThanOrEqual">
      <formula>H41</formula>
    </cfRule>
  </conditionalFormatting>
  <conditionalFormatting sqref="R45">
    <cfRule type="cellIs" dxfId="164" priority="229" operator="lessThanOrEqual">
      <formula>H45</formula>
    </cfRule>
  </conditionalFormatting>
  <conditionalFormatting sqref="R47">
    <cfRule type="cellIs" dxfId="163" priority="231" operator="lessThanOrEqual">
      <formula>H47</formula>
    </cfRule>
  </conditionalFormatting>
  <conditionalFormatting sqref="R48">
    <cfRule type="cellIs" dxfId="162" priority="233" operator="lessThanOrEqual">
      <formula>H48</formula>
    </cfRule>
  </conditionalFormatting>
  <conditionalFormatting sqref="R49">
    <cfRule type="cellIs" dxfId="161" priority="235" operator="lessThanOrEqual">
      <formula>H49</formula>
    </cfRule>
  </conditionalFormatting>
  <conditionalFormatting sqref="R50">
    <cfRule type="cellIs" dxfId="160" priority="237" operator="lessThanOrEqual">
      <formula>H50</formula>
    </cfRule>
  </conditionalFormatting>
  <conditionalFormatting sqref="R52">
    <cfRule type="cellIs" dxfId="159" priority="239" operator="lessThanOrEqual">
      <formula>H52</formula>
    </cfRule>
  </conditionalFormatting>
  <conditionalFormatting sqref="R53">
    <cfRule type="cellIs" dxfId="158" priority="241" operator="lessThanOrEqual">
      <formula>H53</formula>
    </cfRule>
  </conditionalFormatting>
  <conditionalFormatting sqref="R58">
    <cfRule type="cellIs" dxfId="157" priority="243" operator="lessThanOrEqual">
      <formula>H58</formula>
    </cfRule>
  </conditionalFormatting>
  <conditionalFormatting sqref="R59">
    <cfRule type="cellIs" dxfId="156" priority="245" operator="lessThanOrEqual">
      <formula>H59</formula>
    </cfRule>
  </conditionalFormatting>
  <conditionalFormatting sqref="R60">
    <cfRule type="cellIs" dxfId="155" priority="247" operator="lessThanOrEqual">
      <formula>H60</formula>
    </cfRule>
  </conditionalFormatting>
  <conditionalFormatting sqref="R62">
    <cfRule type="cellIs" dxfId="154" priority="249" operator="lessThanOrEqual">
      <formula>H62</formula>
    </cfRule>
  </conditionalFormatting>
  <conditionalFormatting sqref="R63">
    <cfRule type="cellIs" dxfId="153" priority="251" operator="lessThanOrEqual">
      <formula>H63</formula>
    </cfRule>
  </conditionalFormatting>
  <conditionalFormatting sqref="R66">
    <cfRule type="cellIs" dxfId="152" priority="253" operator="lessThanOrEqual">
      <formula>H66</formula>
    </cfRule>
  </conditionalFormatting>
  <conditionalFormatting sqref="R67">
    <cfRule type="cellIs" dxfId="151" priority="255" operator="lessThanOrEqual">
      <formula>H67</formula>
    </cfRule>
  </conditionalFormatting>
  <conditionalFormatting sqref="R7">
    <cfRule type="cellIs" dxfId="150" priority="183" operator="lessThanOrEqual">
      <formula>H7</formula>
    </cfRule>
  </conditionalFormatting>
  <conditionalFormatting sqref="R70">
    <cfRule type="cellIs" dxfId="149" priority="257" operator="lessThanOrEqual">
      <formula>H70</formula>
    </cfRule>
  </conditionalFormatting>
  <conditionalFormatting sqref="R71">
    <cfRule type="cellIs" dxfId="148" priority="259" operator="lessThanOrEqual">
      <formula>H71</formula>
    </cfRule>
  </conditionalFormatting>
  <conditionalFormatting sqref="R72">
    <cfRule type="cellIs" dxfId="147" priority="261" operator="lessThanOrEqual">
      <formula>H72</formula>
    </cfRule>
  </conditionalFormatting>
  <conditionalFormatting sqref="R73">
    <cfRule type="cellIs" dxfId="146" priority="263" operator="lessThanOrEqual">
      <formula>H73</formula>
    </cfRule>
  </conditionalFormatting>
  <conditionalFormatting sqref="R74">
    <cfRule type="cellIs" dxfId="145" priority="265" operator="lessThanOrEqual">
      <formula>H74</formula>
    </cfRule>
  </conditionalFormatting>
  <conditionalFormatting sqref="R76">
    <cfRule type="cellIs" dxfId="144" priority="267" operator="lessThanOrEqual">
      <formula>H76</formula>
    </cfRule>
  </conditionalFormatting>
  <conditionalFormatting sqref="R78">
    <cfRule type="cellIs" dxfId="143" priority="269" operator="lessThanOrEqual">
      <formula>H78</formula>
    </cfRule>
  </conditionalFormatting>
  <conditionalFormatting sqref="R9">
    <cfRule type="cellIs" dxfId="142" priority="185" operator="lessThanOrEqual">
      <formula>H9</formula>
    </cfRule>
  </conditionalFormatting>
  <conditionalFormatting sqref="S12">
    <cfRule type="cellIs" dxfId="141" priority="188" operator="lessThanOrEqual">
      <formula>I12</formula>
    </cfRule>
  </conditionalFormatting>
  <conditionalFormatting sqref="S13">
    <cfRule type="cellIs" dxfId="140" priority="190" operator="lessThanOrEqual">
      <formula>I13</formula>
    </cfRule>
  </conditionalFormatting>
  <conditionalFormatting sqref="S14">
    <cfRule type="cellIs" dxfId="139" priority="192" operator="lessThanOrEqual">
      <formula>I14</formula>
    </cfRule>
  </conditionalFormatting>
  <conditionalFormatting sqref="S15">
    <cfRule type="cellIs" dxfId="138" priority="194" operator="lessThanOrEqual">
      <formula>I15</formula>
    </cfRule>
  </conditionalFormatting>
  <conditionalFormatting sqref="S16">
    <cfRule type="cellIs" dxfId="137" priority="196" operator="lessThanOrEqual">
      <formula>I16</formula>
    </cfRule>
  </conditionalFormatting>
  <conditionalFormatting sqref="S17">
    <cfRule type="cellIs" dxfId="136" priority="198" operator="lessThanOrEqual">
      <formula>I17</formula>
    </cfRule>
  </conditionalFormatting>
  <conditionalFormatting sqref="S18">
    <cfRule type="cellIs" dxfId="135" priority="200" operator="lessThanOrEqual">
      <formula>I18</formula>
    </cfRule>
  </conditionalFormatting>
  <conditionalFormatting sqref="S19">
    <cfRule type="cellIs" dxfId="134" priority="202" operator="lessThanOrEqual">
      <formula>I19</formula>
    </cfRule>
  </conditionalFormatting>
  <conditionalFormatting sqref="S21">
    <cfRule type="cellIs" dxfId="133" priority="204" operator="lessThanOrEqual">
      <formula>I21</formula>
    </cfRule>
  </conditionalFormatting>
  <conditionalFormatting sqref="S25">
    <cfRule type="cellIs" dxfId="132" priority="206" operator="lessThanOrEqual">
      <formula>I25</formula>
    </cfRule>
  </conditionalFormatting>
  <conditionalFormatting sqref="S26">
    <cfRule type="cellIs" dxfId="131" priority="208" operator="lessThanOrEqual">
      <formula>I26</formula>
    </cfRule>
  </conditionalFormatting>
  <conditionalFormatting sqref="S27">
    <cfRule type="cellIs" dxfId="130" priority="210" operator="lessThanOrEqual">
      <formula>I27</formula>
    </cfRule>
  </conditionalFormatting>
  <conditionalFormatting sqref="S28">
    <cfRule type="cellIs" dxfId="129" priority="212" operator="lessThanOrEqual">
      <formula>I28</formula>
    </cfRule>
  </conditionalFormatting>
  <conditionalFormatting sqref="S30">
    <cfRule type="cellIs" dxfId="128" priority="214" operator="lessThanOrEqual">
      <formula>I30</formula>
    </cfRule>
  </conditionalFormatting>
  <conditionalFormatting sqref="S32">
    <cfRule type="cellIs" dxfId="127" priority="216" operator="lessThanOrEqual">
      <formula>I32</formula>
    </cfRule>
  </conditionalFormatting>
  <conditionalFormatting sqref="S33">
    <cfRule type="cellIs" dxfId="126" priority="218" operator="lessThanOrEqual">
      <formula>I33</formula>
    </cfRule>
  </conditionalFormatting>
  <conditionalFormatting sqref="S34">
    <cfRule type="cellIs" dxfId="125" priority="220" operator="lessThanOrEqual">
      <formula>I34</formula>
    </cfRule>
  </conditionalFormatting>
  <conditionalFormatting sqref="S36">
    <cfRule type="cellIs" dxfId="124" priority="222" operator="lessThanOrEqual">
      <formula>I36</formula>
    </cfRule>
  </conditionalFormatting>
  <conditionalFormatting sqref="S38">
    <cfRule type="cellIs" dxfId="123" priority="224" operator="lessThanOrEqual">
      <formula>I38</formula>
    </cfRule>
  </conditionalFormatting>
  <conditionalFormatting sqref="S40">
    <cfRule type="cellIs" dxfId="122" priority="226" operator="lessThanOrEqual">
      <formula>I40</formula>
    </cfRule>
  </conditionalFormatting>
  <conditionalFormatting sqref="S41">
    <cfRule type="cellIs" dxfId="121" priority="228" operator="lessThanOrEqual">
      <formula>I41</formula>
    </cfRule>
  </conditionalFormatting>
  <conditionalFormatting sqref="S45">
    <cfRule type="cellIs" dxfId="120" priority="230" operator="lessThanOrEqual">
      <formula>I45</formula>
    </cfRule>
  </conditionalFormatting>
  <conditionalFormatting sqref="S47">
    <cfRule type="cellIs" dxfId="119" priority="232" operator="lessThanOrEqual">
      <formula>I47</formula>
    </cfRule>
  </conditionalFormatting>
  <conditionalFormatting sqref="S48">
    <cfRule type="cellIs" dxfId="118" priority="234" operator="lessThanOrEqual">
      <formula>I48</formula>
    </cfRule>
  </conditionalFormatting>
  <conditionalFormatting sqref="S49">
    <cfRule type="cellIs" dxfId="117" priority="236" operator="lessThanOrEqual">
      <formula>I49</formula>
    </cfRule>
  </conditionalFormatting>
  <conditionalFormatting sqref="S50">
    <cfRule type="cellIs" dxfId="116" priority="238" operator="lessThanOrEqual">
      <formula>I50</formula>
    </cfRule>
  </conditionalFormatting>
  <conditionalFormatting sqref="S52">
    <cfRule type="cellIs" dxfId="115" priority="240" operator="lessThanOrEqual">
      <formula>I52</formula>
    </cfRule>
  </conditionalFormatting>
  <conditionalFormatting sqref="S53">
    <cfRule type="cellIs" dxfId="114" priority="242" operator="lessThanOrEqual">
      <formula>I53</formula>
    </cfRule>
  </conditionalFormatting>
  <conditionalFormatting sqref="S58">
    <cfRule type="cellIs" dxfId="113" priority="244" operator="lessThanOrEqual">
      <formula>I58</formula>
    </cfRule>
  </conditionalFormatting>
  <conditionalFormatting sqref="S59">
    <cfRule type="cellIs" dxfId="112" priority="246" operator="lessThanOrEqual">
      <formula>I59</formula>
    </cfRule>
  </conditionalFormatting>
  <conditionalFormatting sqref="S60">
    <cfRule type="cellIs" dxfId="111" priority="248" operator="lessThanOrEqual">
      <formula>I60</formula>
    </cfRule>
  </conditionalFormatting>
  <conditionalFormatting sqref="S62">
    <cfRule type="cellIs" dxfId="110" priority="250" operator="lessThanOrEqual">
      <formula>I62</formula>
    </cfRule>
  </conditionalFormatting>
  <conditionalFormatting sqref="S63">
    <cfRule type="cellIs" dxfId="109" priority="252" operator="lessThanOrEqual">
      <formula>I63</formula>
    </cfRule>
  </conditionalFormatting>
  <conditionalFormatting sqref="S66">
    <cfRule type="cellIs" dxfId="108" priority="254" operator="lessThanOrEqual">
      <formula>I66</formula>
    </cfRule>
  </conditionalFormatting>
  <conditionalFormatting sqref="S67">
    <cfRule type="cellIs" dxfId="107" priority="256" operator="lessThanOrEqual">
      <formula>I67</formula>
    </cfRule>
  </conditionalFormatting>
  <conditionalFormatting sqref="S7">
    <cfRule type="cellIs" dxfId="106" priority="184" operator="lessThanOrEqual">
      <formula>I7</formula>
    </cfRule>
  </conditionalFormatting>
  <conditionalFormatting sqref="S70">
    <cfRule type="cellIs" dxfId="105" priority="258" operator="lessThanOrEqual">
      <formula>I70</formula>
    </cfRule>
  </conditionalFormatting>
  <conditionalFormatting sqref="S71">
    <cfRule type="cellIs" dxfId="104" priority="260" operator="lessThanOrEqual">
      <formula>I71</formula>
    </cfRule>
  </conditionalFormatting>
  <conditionalFormatting sqref="S72">
    <cfRule type="cellIs" dxfId="103" priority="262" operator="lessThanOrEqual">
      <formula>I72</formula>
    </cfRule>
  </conditionalFormatting>
  <conditionalFormatting sqref="S73">
    <cfRule type="cellIs" dxfId="102" priority="264" operator="lessThanOrEqual">
      <formula>I73</formula>
    </cfRule>
  </conditionalFormatting>
  <conditionalFormatting sqref="S74">
    <cfRule type="cellIs" dxfId="101" priority="266" operator="lessThanOrEqual">
      <formula>I74</formula>
    </cfRule>
  </conditionalFormatting>
  <conditionalFormatting sqref="S76">
    <cfRule type="cellIs" dxfId="100" priority="268" operator="lessThanOrEqual">
      <formula>I76</formula>
    </cfRule>
  </conditionalFormatting>
  <conditionalFormatting sqref="S78">
    <cfRule type="cellIs" dxfId="99" priority="270" operator="lessThanOrEqual">
      <formula>I78</formula>
    </cfRule>
  </conditionalFormatting>
  <conditionalFormatting sqref="S9">
    <cfRule type="cellIs" dxfId="98" priority="186" operator="lessThanOrEqual">
      <formula>I9</formula>
    </cfRule>
  </conditionalFormatting>
  <conditionalFormatting sqref="X10">
    <cfRule type="cellIs" dxfId="97" priority="277" operator="lessThanOrEqual">
      <formula>H10</formula>
    </cfRule>
  </conditionalFormatting>
  <conditionalFormatting sqref="X11">
    <cfRule type="cellIs" dxfId="96" priority="279" operator="lessThanOrEqual">
      <formula>H11</formula>
    </cfRule>
  </conditionalFormatting>
  <conditionalFormatting sqref="X12">
    <cfRule type="cellIs" dxfId="95" priority="281" operator="lessThanOrEqual">
      <formula>H12</formula>
    </cfRule>
  </conditionalFormatting>
  <conditionalFormatting sqref="X13">
    <cfRule type="cellIs" dxfId="94" priority="283" operator="lessThanOrEqual">
      <formula>H13</formula>
    </cfRule>
  </conditionalFormatting>
  <conditionalFormatting sqref="X14">
    <cfRule type="cellIs" dxfId="93" priority="285" operator="lessThanOrEqual">
      <formula>H14</formula>
    </cfRule>
  </conditionalFormatting>
  <conditionalFormatting sqref="X16">
    <cfRule type="cellIs" dxfId="92" priority="287" operator="lessThanOrEqual">
      <formula>H16</formula>
    </cfRule>
  </conditionalFormatting>
  <conditionalFormatting sqref="X17">
    <cfRule type="cellIs" dxfId="91" priority="289" operator="lessThanOrEqual">
      <formula>H17</formula>
    </cfRule>
  </conditionalFormatting>
  <conditionalFormatting sqref="X18">
    <cfRule type="cellIs" dxfId="90" priority="291" operator="lessThanOrEqual">
      <formula>H18</formula>
    </cfRule>
  </conditionalFormatting>
  <conditionalFormatting sqref="X19">
    <cfRule type="cellIs" dxfId="89" priority="293" operator="lessThanOrEqual">
      <formula>H19</formula>
    </cfRule>
  </conditionalFormatting>
  <conditionalFormatting sqref="X21">
    <cfRule type="cellIs" dxfId="88" priority="295" operator="lessThanOrEqual">
      <formula>H21</formula>
    </cfRule>
  </conditionalFormatting>
  <conditionalFormatting sqref="X24">
    <cfRule type="cellIs" dxfId="87" priority="297" operator="lessThanOrEqual">
      <formula>H24</formula>
    </cfRule>
  </conditionalFormatting>
  <conditionalFormatting sqref="X25">
    <cfRule type="cellIs" dxfId="86" priority="299" operator="lessThanOrEqual">
      <formula>H25</formula>
    </cfRule>
  </conditionalFormatting>
  <conditionalFormatting sqref="X26">
    <cfRule type="cellIs" dxfId="85" priority="301" operator="lessThanOrEqual">
      <formula>H26</formula>
    </cfRule>
  </conditionalFormatting>
  <conditionalFormatting sqref="X27">
    <cfRule type="cellIs" dxfId="84" priority="303" operator="lessThanOrEqual">
      <formula>H27</formula>
    </cfRule>
  </conditionalFormatting>
  <conditionalFormatting sqref="X28">
    <cfRule type="cellIs" dxfId="83" priority="305" operator="lessThanOrEqual">
      <formula>H28</formula>
    </cfRule>
  </conditionalFormatting>
  <conditionalFormatting sqref="X29">
    <cfRule type="cellIs" dxfId="82" priority="307" operator="lessThanOrEqual">
      <formula>H29</formula>
    </cfRule>
  </conditionalFormatting>
  <conditionalFormatting sqref="X30">
    <cfRule type="cellIs" dxfId="81" priority="309" operator="lessThanOrEqual">
      <formula>H30</formula>
    </cfRule>
  </conditionalFormatting>
  <conditionalFormatting sqref="X31">
    <cfRule type="cellIs" dxfId="80" priority="311" operator="lessThanOrEqual">
      <formula>H31</formula>
    </cfRule>
  </conditionalFormatting>
  <conditionalFormatting sqref="X32">
    <cfRule type="cellIs" dxfId="79" priority="313" operator="lessThanOrEqual">
      <formula>H32</formula>
    </cfRule>
  </conditionalFormatting>
  <conditionalFormatting sqref="X33">
    <cfRule type="cellIs" dxfId="78" priority="315" operator="lessThanOrEqual">
      <formula>H33</formula>
    </cfRule>
  </conditionalFormatting>
  <conditionalFormatting sqref="X34">
    <cfRule type="cellIs" dxfId="77" priority="317" operator="lessThanOrEqual">
      <formula>H34</formula>
    </cfRule>
  </conditionalFormatting>
  <conditionalFormatting sqref="X35">
    <cfRule type="cellIs" dxfId="76" priority="319" operator="lessThanOrEqual">
      <formula>H35</formula>
    </cfRule>
  </conditionalFormatting>
  <conditionalFormatting sqref="X40">
    <cfRule type="cellIs" dxfId="75" priority="321" operator="lessThanOrEqual">
      <formula>H40</formula>
    </cfRule>
  </conditionalFormatting>
  <conditionalFormatting sqref="X41">
    <cfRule type="cellIs" dxfId="74" priority="323" operator="lessThanOrEqual">
      <formula>H41</formula>
    </cfRule>
  </conditionalFormatting>
  <conditionalFormatting sqref="X42">
    <cfRule type="cellIs" dxfId="73" priority="325" operator="lessThanOrEqual">
      <formula>H42</formula>
    </cfRule>
  </conditionalFormatting>
  <conditionalFormatting sqref="X43">
    <cfRule type="cellIs" dxfId="72" priority="327" operator="lessThanOrEqual">
      <formula>H43</formula>
    </cfRule>
  </conditionalFormatting>
  <conditionalFormatting sqref="X45">
    <cfRule type="cellIs" dxfId="71" priority="329" operator="lessThanOrEqual">
      <formula>H45</formula>
    </cfRule>
  </conditionalFormatting>
  <conditionalFormatting sqref="X46">
    <cfRule type="cellIs" dxfId="70" priority="331" operator="lessThanOrEqual">
      <formula>H46</formula>
    </cfRule>
  </conditionalFormatting>
  <conditionalFormatting sqref="X47">
    <cfRule type="cellIs" dxfId="69" priority="333" operator="lessThanOrEqual">
      <formula>H47</formula>
    </cfRule>
  </conditionalFormatting>
  <conditionalFormatting sqref="X48">
    <cfRule type="cellIs" dxfId="68" priority="335" operator="lessThanOrEqual">
      <formula>H48</formula>
    </cfRule>
  </conditionalFormatting>
  <conditionalFormatting sqref="X49">
    <cfRule type="cellIs" dxfId="67" priority="337" operator="lessThanOrEqual">
      <formula>H49</formula>
    </cfRule>
  </conditionalFormatting>
  <conditionalFormatting sqref="X50">
    <cfRule type="cellIs" dxfId="66" priority="339" operator="lessThanOrEqual">
      <formula>H50</formula>
    </cfRule>
  </conditionalFormatting>
  <conditionalFormatting sqref="X52">
    <cfRule type="cellIs" dxfId="65" priority="341" operator="lessThanOrEqual">
      <formula>H52</formula>
    </cfRule>
  </conditionalFormatting>
  <conditionalFormatting sqref="X56">
    <cfRule type="cellIs" dxfId="64" priority="343" operator="lessThanOrEqual">
      <formula>H56</formula>
    </cfRule>
  </conditionalFormatting>
  <conditionalFormatting sqref="X58">
    <cfRule type="cellIs" dxfId="63" priority="345" operator="lessThanOrEqual">
      <formula>H58</formula>
    </cfRule>
  </conditionalFormatting>
  <conditionalFormatting sqref="X59">
    <cfRule type="cellIs" dxfId="62" priority="347" operator="lessThanOrEqual">
      <formula>H59</formula>
    </cfRule>
  </conditionalFormatting>
  <conditionalFormatting sqref="X60">
    <cfRule type="cellIs" dxfId="61" priority="349" operator="lessThanOrEqual">
      <formula>H60</formula>
    </cfRule>
  </conditionalFormatting>
  <conditionalFormatting sqref="X61">
    <cfRule type="cellIs" dxfId="60" priority="351" operator="lessThanOrEqual">
      <formula>H61</formula>
    </cfRule>
  </conditionalFormatting>
  <conditionalFormatting sqref="X62">
    <cfRule type="cellIs" dxfId="59" priority="353" operator="lessThanOrEqual">
      <formula>H62</formula>
    </cfRule>
  </conditionalFormatting>
  <conditionalFormatting sqref="X67">
    <cfRule type="cellIs" dxfId="58" priority="355" operator="lessThanOrEqual">
      <formula>H67</formula>
    </cfRule>
  </conditionalFormatting>
  <conditionalFormatting sqref="X68">
    <cfRule type="cellIs" dxfId="57" priority="357" operator="lessThanOrEqual">
      <formula>H68</formula>
    </cfRule>
  </conditionalFormatting>
  <conditionalFormatting sqref="X7">
    <cfRule type="cellIs" dxfId="56" priority="271" operator="lessThanOrEqual">
      <formula>H7</formula>
    </cfRule>
  </conditionalFormatting>
  <conditionalFormatting sqref="X70">
    <cfRule type="cellIs" dxfId="55" priority="359" operator="lessThanOrEqual">
      <formula>H70</formula>
    </cfRule>
  </conditionalFormatting>
  <conditionalFormatting sqref="X72">
    <cfRule type="cellIs" dxfId="54" priority="361" operator="lessThanOrEqual">
      <formula>H72</formula>
    </cfRule>
  </conditionalFormatting>
  <conditionalFormatting sqref="X74">
    <cfRule type="cellIs" dxfId="53" priority="363" operator="lessThanOrEqual">
      <formula>H74</formula>
    </cfRule>
  </conditionalFormatting>
  <conditionalFormatting sqref="X76">
    <cfRule type="cellIs" dxfId="52" priority="365" operator="lessThanOrEqual">
      <formula>H76</formula>
    </cfRule>
  </conditionalFormatting>
  <conditionalFormatting sqref="X8">
    <cfRule type="cellIs" dxfId="51" priority="273" operator="lessThanOrEqual">
      <formula>H8</formula>
    </cfRule>
  </conditionalFormatting>
  <conditionalFormatting sqref="X9">
    <cfRule type="cellIs" dxfId="50" priority="275" operator="lessThanOrEqual">
      <formula>H9</formula>
    </cfRule>
  </conditionalFormatting>
  <conditionalFormatting sqref="Y10">
    <cfRule type="cellIs" dxfId="49" priority="278" operator="lessThanOrEqual">
      <formula>I10</formula>
    </cfRule>
  </conditionalFormatting>
  <conditionalFormatting sqref="Y11">
    <cfRule type="cellIs" dxfId="48" priority="280" operator="lessThanOrEqual">
      <formula>I11</formula>
    </cfRule>
  </conditionalFormatting>
  <conditionalFormatting sqref="Y12">
    <cfRule type="cellIs" dxfId="47" priority="282" operator="lessThanOrEqual">
      <formula>I12</formula>
    </cfRule>
  </conditionalFormatting>
  <conditionalFormatting sqref="Y13">
    <cfRule type="cellIs" dxfId="46" priority="284" operator="lessThanOrEqual">
      <formula>I13</formula>
    </cfRule>
  </conditionalFormatting>
  <conditionalFormatting sqref="Y14">
    <cfRule type="cellIs" dxfId="45" priority="286" operator="lessThanOrEqual">
      <formula>I14</formula>
    </cfRule>
  </conditionalFormatting>
  <conditionalFormatting sqref="Y16">
    <cfRule type="cellIs" dxfId="44" priority="288" operator="lessThanOrEqual">
      <formula>I16</formula>
    </cfRule>
  </conditionalFormatting>
  <conditionalFormatting sqref="Y17">
    <cfRule type="cellIs" dxfId="43" priority="290" operator="lessThanOrEqual">
      <formula>I17</formula>
    </cfRule>
  </conditionalFormatting>
  <conditionalFormatting sqref="Y18">
    <cfRule type="cellIs" dxfId="42" priority="292" operator="lessThanOrEqual">
      <formula>I18</formula>
    </cfRule>
  </conditionalFormatting>
  <conditionalFormatting sqref="Y19">
    <cfRule type="cellIs" dxfId="41" priority="294" operator="lessThanOrEqual">
      <formula>I19</formula>
    </cfRule>
  </conditionalFormatting>
  <conditionalFormatting sqref="Y21">
    <cfRule type="cellIs" dxfId="40" priority="296" operator="lessThanOrEqual">
      <formula>I21</formula>
    </cfRule>
  </conditionalFormatting>
  <conditionalFormatting sqref="Y24">
    <cfRule type="cellIs" dxfId="39" priority="298" operator="lessThanOrEqual">
      <formula>I24</formula>
    </cfRule>
  </conditionalFormatting>
  <conditionalFormatting sqref="Y25">
    <cfRule type="cellIs" dxfId="38" priority="300" operator="lessThanOrEqual">
      <formula>I25</formula>
    </cfRule>
  </conditionalFormatting>
  <conditionalFormatting sqref="Y26">
    <cfRule type="cellIs" dxfId="37" priority="302" operator="lessThanOrEqual">
      <formula>I26</formula>
    </cfRule>
  </conditionalFormatting>
  <conditionalFormatting sqref="Y27">
    <cfRule type="cellIs" dxfId="36" priority="304" operator="lessThanOrEqual">
      <formula>I27</formula>
    </cfRule>
  </conditionalFormatting>
  <conditionalFormatting sqref="Y28">
    <cfRule type="cellIs" dxfId="35" priority="306" operator="lessThanOrEqual">
      <formula>I28</formula>
    </cfRule>
  </conditionalFormatting>
  <conditionalFormatting sqref="Y29">
    <cfRule type="cellIs" dxfId="34" priority="308" operator="lessThanOrEqual">
      <formula>I29</formula>
    </cfRule>
  </conditionalFormatting>
  <conditionalFormatting sqref="Y30">
    <cfRule type="cellIs" dxfId="33" priority="310" operator="lessThanOrEqual">
      <formula>I30</formula>
    </cfRule>
  </conditionalFormatting>
  <conditionalFormatting sqref="Y31">
    <cfRule type="cellIs" dxfId="32" priority="312" operator="lessThanOrEqual">
      <formula>I31</formula>
    </cfRule>
  </conditionalFormatting>
  <conditionalFormatting sqref="Y32">
    <cfRule type="cellIs" dxfId="31" priority="314" operator="lessThanOrEqual">
      <formula>I32</formula>
    </cfRule>
  </conditionalFormatting>
  <conditionalFormatting sqref="Y33">
    <cfRule type="cellIs" dxfId="30" priority="316" operator="lessThanOrEqual">
      <formula>I33</formula>
    </cfRule>
  </conditionalFormatting>
  <conditionalFormatting sqref="Y34">
    <cfRule type="cellIs" dxfId="29" priority="318" operator="lessThanOrEqual">
      <formula>I34</formula>
    </cfRule>
  </conditionalFormatting>
  <conditionalFormatting sqref="Y35">
    <cfRule type="cellIs" dxfId="28" priority="320" operator="lessThanOrEqual">
      <formula>I35</formula>
    </cfRule>
  </conditionalFormatting>
  <conditionalFormatting sqref="Y40">
    <cfRule type="cellIs" dxfId="27" priority="322" operator="lessThanOrEqual">
      <formula>I40</formula>
    </cfRule>
  </conditionalFormatting>
  <conditionalFormatting sqref="Y41">
    <cfRule type="cellIs" dxfId="26" priority="324" operator="lessThanOrEqual">
      <formula>I41</formula>
    </cfRule>
  </conditionalFormatting>
  <conditionalFormatting sqref="Y42">
    <cfRule type="cellIs" dxfId="25" priority="326" operator="lessThanOrEqual">
      <formula>I42</formula>
    </cfRule>
  </conditionalFormatting>
  <conditionalFormatting sqref="Y43">
    <cfRule type="cellIs" dxfId="24" priority="328" operator="lessThanOrEqual">
      <formula>I43</formula>
    </cfRule>
  </conditionalFormatting>
  <conditionalFormatting sqref="Y45">
    <cfRule type="cellIs" dxfId="23" priority="330" operator="lessThanOrEqual">
      <formula>I45</formula>
    </cfRule>
  </conditionalFormatting>
  <conditionalFormatting sqref="Y46">
    <cfRule type="cellIs" dxfId="22" priority="332" operator="lessThanOrEqual">
      <formula>I46</formula>
    </cfRule>
  </conditionalFormatting>
  <conditionalFormatting sqref="Y47">
    <cfRule type="cellIs" dxfId="21" priority="334" operator="lessThanOrEqual">
      <formula>I47</formula>
    </cfRule>
  </conditionalFormatting>
  <conditionalFormatting sqref="Y48">
    <cfRule type="cellIs" dxfId="20" priority="336" operator="lessThanOrEqual">
      <formula>I48</formula>
    </cfRule>
  </conditionalFormatting>
  <conditionalFormatting sqref="Y49">
    <cfRule type="cellIs" dxfId="19" priority="338" operator="lessThanOrEqual">
      <formula>I49</formula>
    </cfRule>
  </conditionalFormatting>
  <conditionalFormatting sqref="Y50">
    <cfRule type="cellIs" dxfId="18" priority="340" operator="lessThanOrEqual">
      <formula>I50</formula>
    </cfRule>
  </conditionalFormatting>
  <conditionalFormatting sqref="Y52">
    <cfRule type="cellIs" dxfId="17" priority="342" operator="lessThanOrEqual">
      <formula>I52</formula>
    </cfRule>
  </conditionalFormatting>
  <conditionalFormatting sqref="Y56">
    <cfRule type="cellIs" dxfId="16" priority="344" operator="lessThanOrEqual">
      <formula>I56</formula>
    </cfRule>
  </conditionalFormatting>
  <conditionalFormatting sqref="Y58">
    <cfRule type="cellIs" dxfId="15" priority="346" operator="lessThanOrEqual">
      <formula>I58</formula>
    </cfRule>
  </conditionalFormatting>
  <conditionalFormatting sqref="Y59">
    <cfRule type="cellIs" dxfId="14" priority="348" operator="lessThanOrEqual">
      <formula>I59</formula>
    </cfRule>
  </conditionalFormatting>
  <conditionalFormatting sqref="Y60">
    <cfRule type="cellIs" dxfId="13" priority="350" operator="lessThanOrEqual">
      <formula>I60</formula>
    </cfRule>
  </conditionalFormatting>
  <conditionalFormatting sqref="Y61">
    <cfRule type="cellIs" dxfId="12" priority="352" operator="lessThanOrEqual">
      <formula>I61</formula>
    </cfRule>
  </conditionalFormatting>
  <conditionalFormatting sqref="Y62">
    <cfRule type="cellIs" dxfId="11" priority="354" operator="lessThanOrEqual">
      <formula>I62</formula>
    </cfRule>
  </conditionalFormatting>
  <conditionalFormatting sqref="Y67">
    <cfRule type="cellIs" dxfId="10" priority="356" operator="lessThanOrEqual">
      <formula>I67</formula>
    </cfRule>
  </conditionalFormatting>
  <conditionalFormatting sqref="Y68">
    <cfRule type="cellIs" dxfId="9" priority="358" operator="lessThanOrEqual">
      <formula>I68</formula>
    </cfRule>
  </conditionalFormatting>
  <conditionalFormatting sqref="Y7">
    <cfRule type="cellIs" dxfId="8" priority="272" operator="lessThanOrEqual">
      <formula>I7</formula>
    </cfRule>
  </conditionalFormatting>
  <conditionalFormatting sqref="Y70">
    <cfRule type="cellIs" dxfId="7" priority="360" operator="lessThanOrEqual">
      <formula>I70</formula>
    </cfRule>
  </conditionalFormatting>
  <conditionalFormatting sqref="Y72">
    <cfRule type="cellIs" dxfId="6" priority="362" operator="lessThanOrEqual">
      <formula>I72</formula>
    </cfRule>
  </conditionalFormatting>
  <conditionalFormatting sqref="Y74">
    <cfRule type="cellIs" dxfId="5" priority="364" operator="lessThanOrEqual">
      <formula>I74</formula>
    </cfRule>
  </conditionalFormatting>
  <conditionalFormatting sqref="Y76">
    <cfRule type="cellIs" dxfId="4" priority="366" operator="lessThanOrEqual">
      <formula>I76</formula>
    </cfRule>
  </conditionalFormatting>
  <conditionalFormatting sqref="Y8">
    <cfRule type="cellIs" dxfId="3" priority="274" operator="lessThanOrEqual">
      <formula>I8</formula>
    </cfRule>
  </conditionalFormatting>
  <conditionalFormatting sqref="Y9">
    <cfRule type="cellIs" dxfId="2" priority="276" operator="lessThanOrEqual">
      <formula>I9</formula>
    </cfRule>
  </conditionalFormatting>
  <conditionalFormatting sqref="AP7:AP80">
    <cfRule type="cellIs" dxfId="1" priority="1" operator="lessThanOrEqual">
      <formula>N7</formula>
    </cfRule>
  </conditionalFormatting>
  <conditionalFormatting sqref="AQ7:AQ80">
    <cfRule type="cellIs" dxfId="0" priority="2" operator="lessThanOrEqual">
      <formula>O7</formula>
    </cfRule>
  </conditionalFormatting>
  <hyperlinks>
    <hyperlink ref="O7" r:id="rId1" xr:uid="{00000000-0004-0000-0000-000000000000}"/>
    <hyperlink ref="U7" r:id="rId2" xr:uid="{00000000-0004-0000-0000-000001000000}"/>
    <hyperlink ref="AA7" r:id="rId3" xr:uid="{00000000-0004-0000-0000-000002000000}"/>
    <hyperlink ref="AG7" r:id="rId4" xr:uid="{00000000-0004-0000-0000-000003000000}"/>
    <hyperlink ref="AM7" r:id="rId5" xr:uid="{00000000-0004-0000-0000-000004000000}"/>
    <hyperlink ref="O8" r:id="rId6" xr:uid="{00000000-0004-0000-0000-000005000000}"/>
    <hyperlink ref="AA8" r:id="rId7" xr:uid="{00000000-0004-0000-0000-000006000000}"/>
    <hyperlink ref="O9" r:id="rId8" xr:uid="{00000000-0004-0000-0000-000007000000}"/>
    <hyperlink ref="U9" r:id="rId9" xr:uid="{00000000-0004-0000-0000-000008000000}"/>
    <hyperlink ref="AA9" r:id="rId10" xr:uid="{00000000-0004-0000-0000-000009000000}"/>
    <hyperlink ref="AG9" r:id="rId11" xr:uid="{00000000-0004-0000-0000-00000A000000}"/>
    <hyperlink ref="AM9" r:id="rId12" xr:uid="{00000000-0004-0000-0000-00000B000000}"/>
    <hyperlink ref="O10" r:id="rId13" xr:uid="{00000000-0004-0000-0000-00000C000000}"/>
    <hyperlink ref="AA10" r:id="rId14" xr:uid="{00000000-0004-0000-0000-00000D000000}"/>
    <hyperlink ref="O11" r:id="rId15" xr:uid="{00000000-0004-0000-0000-00000E000000}"/>
    <hyperlink ref="AA11" r:id="rId16" xr:uid="{00000000-0004-0000-0000-00000F000000}"/>
    <hyperlink ref="AM11" r:id="rId17" xr:uid="{00000000-0004-0000-0000-000010000000}"/>
    <hyperlink ref="O12" r:id="rId18" xr:uid="{00000000-0004-0000-0000-000011000000}"/>
    <hyperlink ref="U12" r:id="rId19" xr:uid="{00000000-0004-0000-0000-000012000000}"/>
    <hyperlink ref="AA12" r:id="rId20" xr:uid="{00000000-0004-0000-0000-000013000000}"/>
    <hyperlink ref="AG12" r:id="rId21" xr:uid="{00000000-0004-0000-0000-000014000000}"/>
    <hyperlink ref="O13" r:id="rId22" xr:uid="{00000000-0004-0000-0000-000015000000}"/>
    <hyperlink ref="U13" r:id="rId23" xr:uid="{00000000-0004-0000-0000-000016000000}"/>
    <hyperlink ref="AA13" r:id="rId24" xr:uid="{00000000-0004-0000-0000-000017000000}"/>
    <hyperlink ref="AG13" r:id="rId25" xr:uid="{00000000-0004-0000-0000-000018000000}"/>
    <hyperlink ref="AM13" r:id="rId26" xr:uid="{00000000-0004-0000-0000-000019000000}"/>
    <hyperlink ref="O14" r:id="rId27" xr:uid="{00000000-0004-0000-0000-00001A000000}"/>
    <hyperlink ref="U14" r:id="rId28" xr:uid="{00000000-0004-0000-0000-00001B000000}"/>
    <hyperlink ref="AA14" r:id="rId29" xr:uid="{00000000-0004-0000-0000-00001C000000}"/>
    <hyperlink ref="AG14" r:id="rId30" xr:uid="{00000000-0004-0000-0000-00001D000000}"/>
    <hyperlink ref="AM14" r:id="rId31" xr:uid="{00000000-0004-0000-0000-00001E000000}"/>
    <hyperlink ref="U15" r:id="rId32" xr:uid="{00000000-0004-0000-0000-00001F000000}"/>
    <hyperlink ref="AG15" r:id="rId33" xr:uid="{00000000-0004-0000-0000-000020000000}"/>
    <hyperlink ref="O16" r:id="rId34" xr:uid="{00000000-0004-0000-0000-000021000000}"/>
    <hyperlink ref="U16" r:id="rId35" xr:uid="{00000000-0004-0000-0000-000022000000}"/>
    <hyperlink ref="AA16" r:id="rId36" xr:uid="{00000000-0004-0000-0000-000023000000}"/>
    <hyperlink ref="AG16" r:id="rId37" xr:uid="{00000000-0004-0000-0000-000024000000}"/>
    <hyperlink ref="AM16" r:id="rId38" xr:uid="{00000000-0004-0000-0000-000025000000}"/>
    <hyperlink ref="O17" r:id="rId39" xr:uid="{00000000-0004-0000-0000-000026000000}"/>
    <hyperlink ref="U17" r:id="rId40" xr:uid="{00000000-0004-0000-0000-000027000000}"/>
    <hyperlink ref="AA17" r:id="rId41" xr:uid="{00000000-0004-0000-0000-000028000000}"/>
    <hyperlink ref="AG17" r:id="rId42" xr:uid="{00000000-0004-0000-0000-000029000000}"/>
    <hyperlink ref="O18" r:id="rId43" xr:uid="{00000000-0004-0000-0000-00002A000000}"/>
    <hyperlink ref="U18" r:id="rId44" xr:uid="{00000000-0004-0000-0000-00002B000000}"/>
    <hyperlink ref="AA18" r:id="rId45" xr:uid="{00000000-0004-0000-0000-00002C000000}"/>
    <hyperlink ref="AG18" r:id="rId46" xr:uid="{00000000-0004-0000-0000-00002D000000}"/>
    <hyperlink ref="AM18" r:id="rId47" xr:uid="{00000000-0004-0000-0000-00002E000000}"/>
    <hyperlink ref="O19" r:id="rId48" xr:uid="{00000000-0004-0000-0000-00002F000000}"/>
    <hyperlink ref="U19" r:id="rId49" xr:uid="{00000000-0004-0000-0000-000030000000}"/>
    <hyperlink ref="AA19" r:id="rId50" xr:uid="{00000000-0004-0000-0000-000031000000}"/>
    <hyperlink ref="AG19" r:id="rId51" xr:uid="{00000000-0004-0000-0000-000032000000}"/>
    <hyperlink ref="AM19" r:id="rId52" xr:uid="{00000000-0004-0000-0000-000033000000}"/>
    <hyperlink ref="O21" r:id="rId53" xr:uid="{00000000-0004-0000-0000-000034000000}"/>
    <hyperlink ref="U21" r:id="rId54" xr:uid="{00000000-0004-0000-0000-000035000000}"/>
    <hyperlink ref="AA21" r:id="rId55" xr:uid="{00000000-0004-0000-0000-000036000000}"/>
    <hyperlink ref="AG21" r:id="rId56" xr:uid="{00000000-0004-0000-0000-000037000000}"/>
    <hyperlink ref="AM21" r:id="rId57" xr:uid="{00000000-0004-0000-0000-000038000000}"/>
    <hyperlink ref="O22" r:id="rId58" xr:uid="{00000000-0004-0000-0000-000039000000}"/>
    <hyperlink ref="AG22" r:id="rId59" xr:uid="{00000000-0004-0000-0000-00003A000000}"/>
    <hyperlink ref="AA23" r:id="rId60" xr:uid="{00000000-0004-0000-0000-00003B000000}"/>
    <hyperlink ref="O24" r:id="rId61" xr:uid="{00000000-0004-0000-0000-00003C000000}"/>
    <hyperlink ref="AA24" r:id="rId62" xr:uid="{00000000-0004-0000-0000-00003D000000}"/>
    <hyperlink ref="O25" r:id="rId63" xr:uid="{00000000-0004-0000-0000-00003E000000}"/>
    <hyperlink ref="U25" r:id="rId64" xr:uid="{00000000-0004-0000-0000-00003F000000}"/>
    <hyperlink ref="AA25" r:id="rId65" xr:uid="{00000000-0004-0000-0000-000040000000}"/>
    <hyperlink ref="AG25" r:id="rId66" xr:uid="{00000000-0004-0000-0000-000041000000}"/>
    <hyperlink ref="AM25" r:id="rId67" xr:uid="{00000000-0004-0000-0000-000042000000}"/>
    <hyperlink ref="O26" r:id="rId68" xr:uid="{00000000-0004-0000-0000-000043000000}"/>
    <hyperlink ref="U26" r:id="rId69" xr:uid="{00000000-0004-0000-0000-000044000000}"/>
    <hyperlink ref="AA26" r:id="rId70" xr:uid="{00000000-0004-0000-0000-000045000000}"/>
    <hyperlink ref="AG26" r:id="rId71" xr:uid="{00000000-0004-0000-0000-000046000000}"/>
    <hyperlink ref="O27" r:id="rId72" xr:uid="{00000000-0004-0000-0000-000047000000}"/>
    <hyperlink ref="U27" r:id="rId73" xr:uid="{00000000-0004-0000-0000-000048000000}"/>
    <hyperlink ref="AA27" r:id="rId74" xr:uid="{00000000-0004-0000-0000-000049000000}"/>
    <hyperlink ref="AG27" r:id="rId75" xr:uid="{00000000-0004-0000-0000-00004A000000}"/>
    <hyperlink ref="AM27" r:id="rId76" xr:uid="{00000000-0004-0000-0000-00004B000000}"/>
    <hyperlink ref="O28" r:id="rId77" xr:uid="{00000000-0004-0000-0000-00004C000000}"/>
    <hyperlink ref="U28" r:id="rId78" xr:uid="{00000000-0004-0000-0000-00004D000000}"/>
    <hyperlink ref="AA28" r:id="rId79" xr:uid="{00000000-0004-0000-0000-00004E000000}"/>
    <hyperlink ref="AG28" r:id="rId80" xr:uid="{00000000-0004-0000-0000-00004F000000}"/>
    <hyperlink ref="O29" r:id="rId81" xr:uid="{00000000-0004-0000-0000-000050000000}"/>
    <hyperlink ref="AA29" r:id="rId82" xr:uid="{00000000-0004-0000-0000-000051000000}"/>
    <hyperlink ref="AG29" r:id="rId83" xr:uid="{00000000-0004-0000-0000-000052000000}"/>
    <hyperlink ref="O30" r:id="rId84" xr:uid="{00000000-0004-0000-0000-000053000000}"/>
    <hyperlink ref="U30" r:id="rId85" xr:uid="{00000000-0004-0000-0000-000054000000}"/>
    <hyperlink ref="AA30" r:id="rId86" xr:uid="{00000000-0004-0000-0000-000055000000}"/>
    <hyperlink ref="AG30" r:id="rId87" xr:uid="{00000000-0004-0000-0000-000056000000}"/>
    <hyperlink ref="AM30" r:id="rId88" xr:uid="{00000000-0004-0000-0000-000057000000}"/>
    <hyperlink ref="AA31" r:id="rId89" xr:uid="{00000000-0004-0000-0000-000058000000}"/>
    <hyperlink ref="O32" r:id="rId90" xr:uid="{00000000-0004-0000-0000-000059000000}"/>
    <hyperlink ref="U32" r:id="rId91" xr:uid="{00000000-0004-0000-0000-00005A000000}"/>
    <hyperlink ref="AA32" r:id="rId92" xr:uid="{00000000-0004-0000-0000-00005B000000}"/>
    <hyperlink ref="AG32" r:id="rId93" xr:uid="{00000000-0004-0000-0000-00005C000000}"/>
    <hyperlink ref="O33" r:id="rId94" xr:uid="{00000000-0004-0000-0000-00005D000000}"/>
    <hyperlink ref="U33" r:id="rId95" xr:uid="{00000000-0004-0000-0000-00005E000000}"/>
    <hyperlink ref="AA33" r:id="rId96" xr:uid="{00000000-0004-0000-0000-00005F000000}"/>
    <hyperlink ref="AG33" r:id="rId97" xr:uid="{00000000-0004-0000-0000-000060000000}"/>
    <hyperlink ref="AM33" r:id="rId98" xr:uid="{00000000-0004-0000-0000-000061000000}"/>
    <hyperlink ref="O34" r:id="rId99" xr:uid="{00000000-0004-0000-0000-000062000000}"/>
    <hyperlink ref="U34" r:id="rId100" xr:uid="{00000000-0004-0000-0000-000063000000}"/>
    <hyperlink ref="AA34" r:id="rId101" xr:uid="{00000000-0004-0000-0000-000064000000}"/>
    <hyperlink ref="AG34" r:id="rId102" xr:uid="{00000000-0004-0000-0000-000065000000}"/>
    <hyperlink ref="AM34" r:id="rId103" xr:uid="{00000000-0004-0000-0000-000066000000}"/>
    <hyperlink ref="O35" r:id="rId104" xr:uid="{00000000-0004-0000-0000-000067000000}"/>
    <hyperlink ref="AA35" r:id="rId105" xr:uid="{00000000-0004-0000-0000-000068000000}"/>
    <hyperlink ref="AM35" r:id="rId106" xr:uid="{00000000-0004-0000-0000-000069000000}"/>
    <hyperlink ref="O36" r:id="rId107" xr:uid="{00000000-0004-0000-0000-00006A000000}"/>
    <hyperlink ref="U36" r:id="rId108" xr:uid="{00000000-0004-0000-0000-00006B000000}"/>
    <hyperlink ref="AG36" r:id="rId109" xr:uid="{00000000-0004-0000-0000-00006C000000}"/>
    <hyperlink ref="AM36" r:id="rId110" xr:uid="{00000000-0004-0000-0000-00006D000000}"/>
    <hyperlink ref="O37" r:id="rId111" xr:uid="{00000000-0004-0000-0000-00006E000000}"/>
    <hyperlink ref="AM37" r:id="rId112" xr:uid="{00000000-0004-0000-0000-00006F000000}"/>
    <hyperlink ref="O38" r:id="rId113" xr:uid="{00000000-0004-0000-0000-000070000000}"/>
    <hyperlink ref="U38" r:id="rId114" xr:uid="{00000000-0004-0000-0000-000071000000}"/>
    <hyperlink ref="AG38" r:id="rId115" xr:uid="{00000000-0004-0000-0000-000072000000}"/>
    <hyperlink ref="AM38" r:id="rId116" xr:uid="{00000000-0004-0000-0000-000073000000}"/>
    <hyperlink ref="O39" r:id="rId117" xr:uid="{00000000-0004-0000-0000-000074000000}"/>
    <hyperlink ref="AM39" r:id="rId118" xr:uid="{00000000-0004-0000-0000-000075000000}"/>
    <hyperlink ref="O40" r:id="rId119" xr:uid="{00000000-0004-0000-0000-000076000000}"/>
    <hyperlink ref="U40" r:id="rId120" xr:uid="{00000000-0004-0000-0000-000077000000}"/>
    <hyperlink ref="AA40" r:id="rId121" xr:uid="{00000000-0004-0000-0000-000078000000}"/>
    <hyperlink ref="AG40" r:id="rId122" xr:uid="{00000000-0004-0000-0000-000079000000}"/>
    <hyperlink ref="AM40" r:id="rId123" xr:uid="{00000000-0004-0000-0000-00007A000000}"/>
    <hyperlink ref="O41" r:id="rId124" xr:uid="{00000000-0004-0000-0000-00007B000000}"/>
    <hyperlink ref="U41" r:id="rId125" xr:uid="{00000000-0004-0000-0000-00007C000000}"/>
    <hyperlink ref="AA41" r:id="rId126" xr:uid="{00000000-0004-0000-0000-00007D000000}"/>
    <hyperlink ref="AG41" r:id="rId127" xr:uid="{00000000-0004-0000-0000-00007E000000}"/>
    <hyperlink ref="AM41" r:id="rId128" xr:uid="{00000000-0004-0000-0000-00007F000000}"/>
    <hyperlink ref="O42" r:id="rId129" xr:uid="{00000000-0004-0000-0000-000080000000}"/>
    <hyperlink ref="AA42" r:id="rId130" xr:uid="{00000000-0004-0000-0000-000081000000}"/>
    <hyperlink ref="AG42" r:id="rId131" xr:uid="{00000000-0004-0000-0000-000082000000}"/>
    <hyperlink ref="AM42" r:id="rId132" xr:uid="{00000000-0004-0000-0000-000083000000}"/>
    <hyperlink ref="O43" r:id="rId133" xr:uid="{00000000-0004-0000-0000-000084000000}"/>
    <hyperlink ref="AA43" r:id="rId134" xr:uid="{00000000-0004-0000-0000-000085000000}"/>
    <hyperlink ref="AG43" r:id="rId135" xr:uid="{00000000-0004-0000-0000-000086000000}"/>
    <hyperlink ref="AM43" r:id="rId136" xr:uid="{00000000-0004-0000-0000-000087000000}"/>
    <hyperlink ref="O45" r:id="rId137" xr:uid="{00000000-0004-0000-0000-000088000000}"/>
    <hyperlink ref="U45" r:id="rId138" xr:uid="{00000000-0004-0000-0000-000089000000}"/>
    <hyperlink ref="AA45" r:id="rId139" xr:uid="{00000000-0004-0000-0000-00008A000000}"/>
    <hyperlink ref="AG45" r:id="rId140" xr:uid="{00000000-0004-0000-0000-00008B000000}"/>
    <hyperlink ref="AM45" r:id="rId141" xr:uid="{00000000-0004-0000-0000-00008C000000}"/>
    <hyperlink ref="O46" r:id="rId142" xr:uid="{00000000-0004-0000-0000-00008D000000}"/>
    <hyperlink ref="AA46" r:id="rId143" xr:uid="{00000000-0004-0000-0000-00008E000000}"/>
    <hyperlink ref="AG46" r:id="rId144" xr:uid="{00000000-0004-0000-0000-00008F000000}"/>
    <hyperlink ref="U47" r:id="rId145" xr:uid="{00000000-0004-0000-0000-000090000000}"/>
    <hyperlink ref="AA47" r:id="rId146" xr:uid="{00000000-0004-0000-0000-000091000000}"/>
    <hyperlink ref="O48" r:id="rId147" xr:uid="{00000000-0004-0000-0000-000092000000}"/>
    <hyperlink ref="U48" r:id="rId148" xr:uid="{00000000-0004-0000-0000-000093000000}"/>
    <hyperlink ref="AA48" r:id="rId149" xr:uid="{00000000-0004-0000-0000-000094000000}"/>
    <hyperlink ref="AG48" r:id="rId150" xr:uid="{00000000-0004-0000-0000-000095000000}"/>
    <hyperlink ref="U49" r:id="rId151" xr:uid="{00000000-0004-0000-0000-000096000000}"/>
    <hyperlink ref="AA49" r:id="rId152" xr:uid="{00000000-0004-0000-0000-000097000000}"/>
    <hyperlink ref="AG49" r:id="rId153" xr:uid="{00000000-0004-0000-0000-000098000000}"/>
    <hyperlink ref="O50" r:id="rId154" xr:uid="{00000000-0004-0000-0000-000099000000}"/>
    <hyperlink ref="U50" r:id="rId155" xr:uid="{00000000-0004-0000-0000-00009A000000}"/>
    <hyperlink ref="AA50" r:id="rId156" xr:uid="{00000000-0004-0000-0000-00009B000000}"/>
    <hyperlink ref="AG50" r:id="rId157" xr:uid="{00000000-0004-0000-0000-00009C000000}"/>
    <hyperlink ref="AM50" r:id="rId158" xr:uid="{00000000-0004-0000-0000-00009D000000}"/>
    <hyperlink ref="O51" r:id="rId159" xr:uid="{00000000-0004-0000-0000-00009E000000}"/>
    <hyperlink ref="U51" r:id="rId160" xr:uid="{00000000-0004-0000-0000-00009F000000}"/>
    <hyperlink ref="O52" r:id="rId161" xr:uid="{00000000-0004-0000-0000-0000A0000000}"/>
    <hyperlink ref="U52" r:id="rId162" xr:uid="{00000000-0004-0000-0000-0000A1000000}"/>
    <hyperlink ref="AA52" r:id="rId163" xr:uid="{00000000-0004-0000-0000-0000A2000000}"/>
    <hyperlink ref="AG52" r:id="rId164" xr:uid="{00000000-0004-0000-0000-0000A3000000}"/>
    <hyperlink ref="AM52" r:id="rId165" xr:uid="{00000000-0004-0000-0000-0000A4000000}"/>
    <hyperlink ref="O53" r:id="rId166" xr:uid="{00000000-0004-0000-0000-0000A5000000}"/>
    <hyperlink ref="U53" r:id="rId167" xr:uid="{00000000-0004-0000-0000-0000A6000000}"/>
    <hyperlink ref="AG53" r:id="rId168" xr:uid="{00000000-0004-0000-0000-0000A7000000}"/>
    <hyperlink ref="AM53" r:id="rId169" xr:uid="{00000000-0004-0000-0000-0000A8000000}"/>
    <hyperlink ref="AA56" r:id="rId170" xr:uid="{00000000-0004-0000-0000-0000A9000000}"/>
    <hyperlink ref="O58" r:id="rId171" xr:uid="{00000000-0004-0000-0000-0000AA000000}"/>
    <hyperlink ref="U58" r:id="rId172" xr:uid="{00000000-0004-0000-0000-0000AB000000}"/>
    <hyperlink ref="AA58" r:id="rId173" xr:uid="{00000000-0004-0000-0000-0000AC000000}"/>
    <hyperlink ref="AG58" r:id="rId174" xr:uid="{00000000-0004-0000-0000-0000AD000000}"/>
    <hyperlink ref="O59" r:id="rId175" xr:uid="{00000000-0004-0000-0000-0000AE000000}"/>
    <hyperlink ref="U59" r:id="rId176" xr:uid="{00000000-0004-0000-0000-0000AF000000}"/>
    <hyperlink ref="AA59" r:id="rId177" xr:uid="{00000000-0004-0000-0000-0000B0000000}"/>
    <hyperlink ref="O60" r:id="rId178" xr:uid="{00000000-0004-0000-0000-0000B1000000}"/>
    <hyperlink ref="U60" r:id="rId179" xr:uid="{00000000-0004-0000-0000-0000B2000000}"/>
    <hyperlink ref="AA60" r:id="rId180" xr:uid="{00000000-0004-0000-0000-0000B3000000}"/>
    <hyperlink ref="AG60" r:id="rId181" xr:uid="{00000000-0004-0000-0000-0000B4000000}"/>
    <hyperlink ref="AM60" r:id="rId182" xr:uid="{00000000-0004-0000-0000-0000B5000000}"/>
    <hyperlink ref="O61" r:id="rId183" xr:uid="{00000000-0004-0000-0000-0000B6000000}"/>
    <hyperlink ref="AA61" r:id="rId184" xr:uid="{00000000-0004-0000-0000-0000B7000000}"/>
    <hyperlink ref="AM61" r:id="rId185" xr:uid="{00000000-0004-0000-0000-0000B8000000}"/>
    <hyperlink ref="O62" r:id="rId186" xr:uid="{00000000-0004-0000-0000-0000B9000000}"/>
    <hyperlink ref="U62" r:id="rId187" xr:uid="{00000000-0004-0000-0000-0000BA000000}"/>
    <hyperlink ref="AA62" r:id="rId188" xr:uid="{00000000-0004-0000-0000-0000BB000000}"/>
    <hyperlink ref="AG62" r:id="rId189" xr:uid="{00000000-0004-0000-0000-0000BC000000}"/>
    <hyperlink ref="AM62" r:id="rId190" xr:uid="{00000000-0004-0000-0000-0000BD000000}"/>
    <hyperlink ref="O63" r:id="rId191" xr:uid="{00000000-0004-0000-0000-0000BE000000}"/>
    <hyperlink ref="U63" r:id="rId192" xr:uid="{00000000-0004-0000-0000-0000BF000000}"/>
    <hyperlink ref="AG63" r:id="rId193" xr:uid="{00000000-0004-0000-0000-0000C0000000}"/>
    <hyperlink ref="AM63" r:id="rId194" xr:uid="{00000000-0004-0000-0000-0000C1000000}"/>
    <hyperlink ref="O66" r:id="rId195" xr:uid="{00000000-0004-0000-0000-0000C2000000}"/>
    <hyperlink ref="U66" r:id="rId196" xr:uid="{00000000-0004-0000-0000-0000C3000000}"/>
    <hyperlink ref="AG66" r:id="rId197" xr:uid="{00000000-0004-0000-0000-0000C4000000}"/>
    <hyperlink ref="AM66" r:id="rId198" xr:uid="{00000000-0004-0000-0000-0000C5000000}"/>
    <hyperlink ref="O67" r:id="rId199" xr:uid="{00000000-0004-0000-0000-0000C6000000}"/>
    <hyperlink ref="U67" r:id="rId200" xr:uid="{00000000-0004-0000-0000-0000C7000000}"/>
    <hyperlink ref="AA67" r:id="rId201" xr:uid="{00000000-0004-0000-0000-0000C8000000}"/>
    <hyperlink ref="AG67" r:id="rId202" xr:uid="{00000000-0004-0000-0000-0000C9000000}"/>
    <hyperlink ref="AM67" r:id="rId203" xr:uid="{00000000-0004-0000-0000-0000CA000000}"/>
    <hyperlink ref="O68" r:id="rId204" xr:uid="{00000000-0004-0000-0000-0000CB000000}"/>
    <hyperlink ref="AA68" r:id="rId205" xr:uid="{00000000-0004-0000-0000-0000CC000000}"/>
    <hyperlink ref="AG68" r:id="rId206" xr:uid="{00000000-0004-0000-0000-0000CD000000}"/>
    <hyperlink ref="AM68" r:id="rId207" xr:uid="{00000000-0004-0000-0000-0000CE000000}"/>
    <hyperlink ref="O70" r:id="rId208" xr:uid="{00000000-0004-0000-0000-0000CF000000}"/>
    <hyperlink ref="U70" r:id="rId209" xr:uid="{00000000-0004-0000-0000-0000D0000000}"/>
    <hyperlink ref="AA70" r:id="rId210" xr:uid="{00000000-0004-0000-0000-0000D1000000}"/>
    <hyperlink ref="AG70" r:id="rId211" xr:uid="{00000000-0004-0000-0000-0000D2000000}"/>
    <hyperlink ref="AM70" r:id="rId212" xr:uid="{00000000-0004-0000-0000-0000D3000000}"/>
    <hyperlink ref="O71" r:id="rId213" xr:uid="{00000000-0004-0000-0000-0000D4000000}"/>
    <hyperlink ref="U71" r:id="rId214" xr:uid="{00000000-0004-0000-0000-0000D5000000}"/>
    <hyperlink ref="AG71" r:id="rId215" xr:uid="{00000000-0004-0000-0000-0000D6000000}"/>
    <hyperlink ref="AM71" r:id="rId216" xr:uid="{00000000-0004-0000-0000-0000D7000000}"/>
    <hyperlink ref="O72" r:id="rId217" xr:uid="{00000000-0004-0000-0000-0000D8000000}"/>
    <hyperlink ref="U72" r:id="rId218" xr:uid="{00000000-0004-0000-0000-0000D9000000}"/>
    <hyperlink ref="AA72" r:id="rId219" xr:uid="{00000000-0004-0000-0000-0000DA000000}"/>
    <hyperlink ref="AG72" r:id="rId220" xr:uid="{00000000-0004-0000-0000-0000DB000000}"/>
    <hyperlink ref="U73" r:id="rId221" xr:uid="{00000000-0004-0000-0000-0000DC000000}"/>
    <hyperlink ref="AG73" r:id="rId222" xr:uid="{00000000-0004-0000-0000-0000DD000000}"/>
    <hyperlink ref="O74" r:id="rId223" xr:uid="{00000000-0004-0000-0000-0000DE000000}"/>
    <hyperlink ref="U74" r:id="rId224" xr:uid="{00000000-0004-0000-0000-0000DF000000}"/>
    <hyperlink ref="AA74" r:id="rId225" xr:uid="{00000000-0004-0000-0000-0000E0000000}"/>
    <hyperlink ref="AG74" r:id="rId226" xr:uid="{00000000-0004-0000-0000-0000E1000000}"/>
    <hyperlink ref="O76" r:id="rId227" xr:uid="{00000000-0004-0000-0000-0000E2000000}"/>
    <hyperlink ref="U76" r:id="rId228" xr:uid="{00000000-0004-0000-0000-0000E3000000}"/>
    <hyperlink ref="AA76" r:id="rId229" xr:uid="{00000000-0004-0000-0000-0000E4000000}"/>
    <hyperlink ref="AG76" r:id="rId230" xr:uid="{00000000-0004-0000-0000-0000E5000000}"/>
    <hyperlink ref="AM76" r:id="rId231" xr:uid="{00000000-0004-0000-0000-0000E6000000}"/>
    <hyperlink ref="O77" r:id="rId232" xr:uid="{00000000-0004-0000-0000-0000E7000000}"/>
    <hyperlink ref="AM77" r:id="rId233" xr:uid="{00000000-0004-0000-0000-0000E8000000}"/>
    <hyperlink ref="O78" r:id="rId234" xr:uid="{00000000-0004-0000-0000-0000E9000000}"/>
    <hyperlink ref="U78" r:id="rId235" xr:uid="{00000000-0004-0000-0000-0000EA000000}"/>
    <hyperlink ref="AG78" r:id="rId236" xr:uid="{00000000-0004-0000-0000-0000EB000000}"/>
    <hyperlink ref="AM78" r:id="rId237" xr:uid="{00000000-0004-0000-0000-0000EC000000}"/>
    <hyperlink ref="AS7" r:id="rId238" xr:uid="{00000000-0004-0000-0000-0000ED000000}"/>
  </hyperlinks>
  <pageMargins left="0.7" right="0.7" top="0.75" bottom="0.75" header="0.3" footer="0.3"/>
  <pageSetup paperSize="9" orientation="portrait" r:id="rId239"/>
  <legacyDrawing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6xUSB_PowMet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Aleksejs Mirnijs</cp:lastModifiedBy>
  <dcterms:created xsi:type="dcterms:W3CDTF">2017-08-04T19:28:37Z</dcterms:created>
  <dcterms:modified xsi:type="dcterms:W3CDTF">2018-12-02T19:55:42Z</dcterms:modified>
</cp:coreProperties>
</file>